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tschavrien\Desktop\"/>
    </mc:Choice>
  </mc:AlternateContent>
  <xr:revisionPtr revIDLastSave="0" documentId="13_ncr:1_{92D82EEE-DC6A-4535-BBB6-3D4F895AB9E0}" xr6:coauthVersionLast="47" xr6:coauthVersionMax="47" xr10:uidLastSave="{00000000-0000-0000-0000-000000000000}"/>
  <bookViews>
    <workbookView xWindow="-28920" yWindow="-120" windowWidth="29040" windowHeight="15840" activeTab="3" xr2:uid="{00000000-000D-0000-FFFF-FFFF00000000}"/>
  </bookViews>
  <sheets>
    <sheet name="Six Cities 1-17" sheetId="6" r:id="rId1"/>
    <sheet name="Six Cities 1-18" sheetId="8" r:id="rId2"/>
    <sheet name="Six Cities 1-19" sheetId="9" r:id="rId3"/>
    <sheet name="Six Cities 1-20" sheetId="10" r:id="rId4"/>
    <sheet name="Six Cities 1-21" sheetId="11" r:id="rId5"/>
    <sheet name="Six Cities 1-22" sheetId="12" r:id="rId6"/>
    <sheet name="Six Cities 1-23" sheetId="13" r:id="rId7"/>
    <sheet name="Six Cities 1-26" sheetId="14" r:id="rId8"/>
    <sheet name="Six Cities 1-27" sheetId="15" r:id="rId9"/>
  </sheets>
  <definedNames>
    <definedName name="_xlnm.Print_Area" localSheetId="0">'Six Cities 1-17'!$A$1:$O$40</definedName>
    <definedName name="_xlnm.Print_Area" localSheetId="1">'Six Cities 1-18'!$A$1:$O$25</definedName>
    <definedName name="_xlnm.Print_Area" localSheetId="2">'Six Cities 1-19'!$A$1:$O$20</definedName>
    <definedName name="_xlnm.Print_Area" localSheetId="3">'Six Cities 1-20'!$A$1:$Q$64</definedName>
    <definedName name="_xlnm.Print_Area" localSheetId="4">'Six Cities 1-21'!$A$1:$U$90</definedName>
    <definedName name="_xlnm.Print_Area" localSheetId="5">'Six Cities 1-22'!$A$1:$Q$60</definedName>
    <definedName name="_xlnm.Print_Area" localSheetId="6">'Six Cities 1-23'!$A$1:$Q$58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9" l="1"/>
  <c r="N11" i="9"/>
  <c r="M23" i="8"/>
  <c r="L23" i="8"/>
  <c r="K23" i="8"/>
  <c r="J23" i="8"/>
  <c r="I23" i="8"/>
  <c r="H23" i="8"/>
  <c r="G23" i="8"/>
  <c r="F23" i="8"/>
  <c r="E23" i="8"/>
  <c r="D23" i="8"/>
  <c r="C23" i="8"/>
  <c r="B23" i="8"/>
  <c r="N22" i="8"/>
  <c r="N21" i="8"/>
  <c r="N23" i="8" s="1"/>
  <c r="M14" i="8"/>
  <c r="L14" i="8"/>
  <c r="K14" i="8"/>
  <c r="J14" i="8"/>
  <c r="I14" i="8"/>
  <c r="H14" i="8"/>
  <c r="G14" i="8"/>
  <c r="F14" i="8"/>
  <c r="E14" i="8"/>
  <c r="D14" i="8"/>
  <c r="C14" i="8"/>
  <c r="B14" i="8"/>
  <c r="N13" i="8"/>
  <c r="N12" i="8"/>
  <c r="N11" i="8"/>
  <c r="N37" i="6"/>
  <c r="M38" i="6"/>
  <c r="L38" i="6"/>
  <c r="K38" i="6"/>
  <c r="J38" i="6"/>
  <c r="I38" i="6"/>
  <c r="H38" i="6"/>
  <c r="G38" i="6"/>
  <c r="F38" i="6"/>
  <c r="E38" i="6"/>
  <c r="D38" i="6"/>
  <c r="C38" i="6"/>
  <c r="B38" i="6"/>
  <c r="N38" i="6"/>
  <c r="N28" i="6"/>
  <c r="N29" i="6"/>
  <c r="N30" i="6"/>
  <c r="N31" i="6"/>
  <c r="N32" i="6"/>
  <c r="N33" i="6"/>
  <c r="N34" i="6"/>
  <c r="N35" i="6"/>
  <c r="N36" i="6"/>
  <c r="N27" i="6"/>
  <c r="M20" i="6"/>
  <c r="L20" i="6"/>
  <c r="K20" i="6"/>
  <c r="J20" i="6"/>
  <c r="I20" i="6"/>
  <c r="H20" i="6"/>
  <c r="G20" i="6"/>
  <c r="F20" i="6"/>
  <c r="E20" i="6"/>
  <c r="D20" i="6"/>
  <c r="C20" i="6"/>
  <c r="B20" i="6"/>
  <c r="N20" i="6"/>
  <c r="N12" i="6"/>
  <c r="N13" i="6"/>
  <c r="N14" i="6"/>
  <c r="N15" i="6"/>
  <c r="N16" i="6"/>
  <c r="N17" i="6"/>
  <c r="N18" i="6"/>
  <c r="N19" i="6"/>
  <c r="N11" i="6"/>
  <c r="B16" i="15"/>
  <c r="B17" i="15" s="1"/>
  <c r="D14" i="15"/>
  <c r="G13" i="15"/>
  <c r="S10" i="15"/>
  <c r="Z9" i="15" s="1"/>
  <c r="R10" i="15"/>
  <c r="Y9" i="15" s="1"/>
  <c r="Q10" i="15"/>
  <c r="X9" i="15" s="1"/>
  <c r="W9" i="15"/>
  <c r="V9" i="15"/>
  <c r="M60" i="14"/>
  <c r="L60" i="14"/>
  <c r="J58" i="14"/>
  <c r="I58" i="14"/>
  <c r="J53" i="14"/>
  <c r="I51" i="14"/>
  <c r="I53" i="14" s="1"/>
  <c r="J48" i="14"/>
  <c r="I48" i="14"/>
  <c r="J34" i="14"/>
  <c r="I34" i="14"/>
  <c r="J24" i="14"/>
  <c r="A24" i="14"/>
  <c r="I20" i="14"/>
  <c r="I18" i="14"/>
  <c r="I24" i="14" s="1"/>
  <c r="A14" i="14"/>
  <c r="A15" i="14" s="1"/>
  <c r="A16" i="14" s="1"/>
  <c r="A17" i="14" s="1"/>
  <c r="A18" i="14" s="1"/>
  <c r="A19" i="14" s="1"/>
  <c r="A20" i="14" s="1"/>
  <c r="H57" i="13"/>
  <c r="G57" i="13"/>
  <c r="H49" i="13"/>
  <c r="H50" i="13" s="1"/>
  <c r="G49" i="13"/>
  <c r="H44" i="13"/>
  <c r="G44" i="13"/>
  <c r="G45" i="13" s="1"/>
  <c r="H37" i="13"/>
  <c r="H38" i="13" s="1"/>
  <c r="G37" i="13"/>
  <c r="G38" i="13" s="1"/>
  <c r="H22" i="13"/>
  <c r="H24" i="13" s="1"/>
  <c r="H15" i="13"/>
  <c r="H17" i="13" s="1"/>
  <c r="H27" i="13" s="1"/>
  <c r="H28" i="13" s="1"/>
  <c r="H59" i="12"/>
  <c r="G59" i="12"/>
  <c r="H48" i="12"/>
  <c r="H51" i="12" s="1"/>
  <c r="H52" i="12" s="1"/>
  <c r="G48" i="12"/>
  <c r="G51" i="12" s="1"/>
  <c r="G52" i="12" s="1"/>
  <c r="H42" i="12"/>
  <c r="H43" i="12" s="1"/>
  <c r="H44" i="12" s="1"/>
  <c r="G42" i="12"/>
  <c r="G43" i="12" s="1"/>
  <c r="G44" i="12" s="1"/>
  <c r="H37" i="12"/>
  <c r="H38" i="12" s="1"/>
  <c r="H55" i="12" s="1"/>
  <c r="G37" i="12"/>
  <c r="G38" i="12" s="1"/>
  <c r="H22" i="12"/>
  <c r="H24" i="12" s="1"/>
  <c r="H15" i="12"/>
  <c r="H17" i="12" s="1"/>
  <c r="H27" i="12" s="1"/>
  <c r="H28" i="12" s="1"/>
  <c r="F81" i="11"/>
  <c r="F87" i="11" s="1"/>
  <c r="F79" i="11"/>
  <c r="F82" i="11" s="1"/>
  <c r="P74" i="11"/>
  <c r="S72" i="11"/>
  <c r="F72" i="11"/>
  <c r="U71" i="11"/>
  <c r="N75" i="11" s="1"/>
  <c r="U70" i="11"/>
  <c r="K74" i="11" s="1"/>
  <c r="I64" i="11"/>
  <c r="H64" i="11"/>
  <c r="I56" i="11"/>
  <c r="I57" i="11" s="1"/>
  <c r="H56" i="11"/>
  <c r="H57" i="11" s="1"/>
  <c r="I46" i="11"/>
  <c r="I50" i="11" s="1"/>
  <c r="I51" i="11" s="1"/>
  <c r="H46" i="11"/>
  <c r="H50" i="11" s="1"/>
  <c r="H51" i="11" s="1"/>
  <c r="I39" i="11"/>
  <c r="I40" i="11" s="1"/>
  <c r="H39" i="11"/>
  <c r="H23" i="11"/>
  <c r="H25" i="11" s="1"/>
  <c r="H16" i="11"/>
  <c r="H18" i="11" s="1"/>
  <c r="H28" i="11" s="1"/>
  <c r="H29" i="11" s="1"/>
  <c r="H63" i="10"/>
  <c r="G63" i="10"/>
  <c r="H55" i="10"/>
  <c r="H56" i="10" s="1"/>
  <c r="G55" i="10"/>
  <c r="G56" i="10" s="1"/>
  <c r="H45" i="10"/>
  <c r="H49" i="10" s="1"/>
  <c r="H58" i="10" s="1"/>
  <c r="G45" i="10"/>
  <c r="G49" i="10" s="1"/>
  <c r="G50" i="10" s="1"/>
  <c r="H38" i="10"/>
  <c r="H39" i="10" s="1"/>
  <c r="G38" i="10"/>
  <c r="G39" i="10" s="1"/>
  <c r="G59" i="10" s="1"/>
  <c r="H22" i="10"/>
  <c r="H24" i="10" s="1"/>
  <c r="H15" i="10"/>
  <c r="H17" i="10" s="1"/>
  <c r="H27" i="10" s="1"/>
  <c r="H28" i="10" s="1"/>
  <c r="B15" i="15" l="1"/>
  <c r="J60" i="14"/>
  <c r="H52" i="13"/>
  <c r="G52" i="13"/>
  <c r="G55" i="12"/>
  <c r="H59" i="11"/>
  <c r="F88" i="11"/>
  <c r="H40" i="11"/>
  <c r="U73" i="11"/>
  <c r="N14" i="8"/>
  <c r="C17" i="15"/>
  <c r="B18" i="15"/>
  <c r="E14" i="15"/>
  <c r="F14" i="15" s="1"/>
  <c r="G14" i="15" s="1"/>
  <c r="J14" i="15"/>
  <c r="K14" i="15" s="1"/>
  <c r="L14" i="15" s="1"/>
  <c r="N14" i="15" s="1"/>
  <c r="C16" i="15"/>
  <c r="C15" i="15"/>
  <c r="A22" i="14"/>
  <c r="A21" i="14"/>
  <c r="I60" i="14"/>
  <c r="H45" i="13"/>
  <c r="H53" i="13" s="1"/>
  <c r="G50" i="13"/>
  <c r="G53" i="13" s="1"/>
  <c r="G54" i="12"/>
  <c r="H54" i="12"/>
  <c r="K82" i="11"/>
  <c r="P82" i="11"/>
  <c r="I60" i="11"/>
  <c r="R41" i="11"/>
  <c r="H60" i="11"/>
  <c r="I59" i="11"/>
  <c r="L74" i="11"/>
  <c r="L82" i="11" s="1"/>
  <c r="O75" i="11"/>
  <c r="K39" i="11"/>
  <c r="M74" i="11"/>
  <c r="M82" i="11" s="1"/>
  <c r="P75" i="11"/>
  <c r="N74" i="11"/>
  <c r="N82" i="11" s="1"/>
  <c r="Q75" i="11"/>
  <c r="O74" i="11"/>
  <c r="O82" i="11" s="1"/>
  <c r="R75" i="11"/>
  <c r="Q74" i="11"/>
  <c r="Q82" i="11" s="1"/>
  <c r="H75" i="11"/>
  <c r="G74" i="11"/>
  <c r="G82" i="11" s="1"/>
  <c r="J75" i="11"/>
  <c r="H74" i="11"/>
  <c r="H82" i="11" s="1"/>
  <c r="K75" i="11"/>
  <c r="I74" i="11"/>
  <c r="I82" i="11" s="1"/>
  <c r="L75" i="11"/>
  <c r="F85" i="11"/>
  <c r="R74" i="11"/>
  <c r="R82" i="11" s="1"/>
  <c r="G75" i="11"/>
  <c r="U72" i="11"/>
  <c r="I75" i="11"/>
  <c r="J74" i="11"/>
  <c r="J82" i="11" s="1"/>
  <c r="M75" i="11"/>
  <c r="H50" i="10"/>
  <c r="H59" i="10" s="1"/>
  <c r="G58" i="10"/>
  <c r="K15" i="15" l="1"/>
  <c r="L15" i="15"/>
  <c r="N15" i="15" s="1"/>
  <c r="I15" i="15"/>
  <c r="J15" i="15"/>
  <c r="U14" i="15"/>
  <c r="J16" i="15"/>
  <c r="L16" i="15"/>
  <c r="N16" i="15" s="1"/>
  <c r="I16" i="15"/>
  <c r="K16" i="15"/>
  <c r="C18" i="15"/>
  <c r="B19" i="15"/>
  <c r="J17" i="15"/>
  <c r="K17" i="15"/>
  <c r="L17" i="15"/>
  <c r="N17" i="15" s="1"/>
  <c r="I17" i="15"/>
  <c r="D15" i="15"/>
  <c r="S82" i="11"/>
  <c r="T75" i="11"/>
  <c r="P85" i="11"/>
  <c r="P88" i="11" s="1"/>
  <c r="O85" i="11"/>
  <c r="O88" i="11" s="1"/>
  <c r="N85" i="11"/>
  <c r="N88" i="11" s="1"/>
  <c r="M85" i="11"/>
  <c r="M88" i="11" s="1"/>
  <c r="L85" i="11"/>
  <c r="L88" i="11" s="1"/>
  <c r="K85" i="11"/>
  <c r="K88" i="11" s="1"/>
  <c r="J85" i="11"/>
  <c r="J88" i="11" s="1"/>
  <c r="I85" i="11"/>
  <c r="I88" i="11" s="1"/>
  <c r="H85" i="11"/>
  <c r="H88" i="11" s="1"/>
  <c r="G85" i="11"/>
  <c r="R85" i="11"/>
  <c r="R88" i="11" s="1"/>
  <c r="Q85" i="11"/>
  <c r="Q88" i="11" s="1"/>
  <c r="T74" i="11"/>
  <c r="P15" i="15" l="1"/>
  <c r="O15" i="15"/>
  <c r="Q15" i="15" s="1"/>
  <c r="D16" i="15"/>
  <c r="E15" i="15"/>
  <c r="F15" i="15" s="1"/>
  <c r="G15" i="15" s="1"/>
  <c r="P17" i="15"/>
  <c r="O17" i="15"/>
  <c r="Q17" i="15" s="1"/>
  <c r="B20" i="15"/>
  <c r="C19" i="15"/>
  <c r="K18" i="15"/>
  <c r="I18" i="15"/>
  <c r="L18" i="15"/>
  <c r="N18" i="15" s="1"/>
  <c r="J18" i="15"/>
  <c r="P16" i="15"/>
  <c r="O16" i="15"/>
  <c r="Q16" i="15" s="1"/>
  <c r="U15" i="15"/>
  <c r="W14" i="15"/>
  <c r="V14" i="15"/>
  <c r="S85" i="11"/>
  <c r="S89" i="11" s="1"/>
  <c r="G88" i="11"/>
  <c r="S88" i="11" s="1"/>
  <c r="X14" i="15" l="1"/>
  <c r="E16" i="15"/>
  <c r="F16" i="15" s="1"/>
  <c r="G16" i="15" s="1"/>
  <c r="D17" i="15"/>
  <c r="Z14" i="15"/>
  <c r="Y14" i="15"/>
  <c r="U16" i="15"/>
  <c r="W15" i="15"/>
  <c r="V15" i="15"/>
  <c r="L19" i="15"/>
  <c r="N19" i="15" s="1"/>
  <c r="I19" i="15"/>
  <c r="J19" i="15"/>
  <c r="K19" i="15"/>
  <c r="C21" i="15"/>
  <c r="S17" i="15"/>
  <c r="R17" i="15"/>
  <c r="R15" i="15"/>
  <c r="S15" i="15"/>
  <c r="S16" i="15"/>
  <c r="R16" i="15"/>
  <c r="O18" i="15"/>
  <c r="P18" i="15"/>
  <c r="C20" i="15"/>
  <c r="J20" i="15"/>
  <c r="I20" i="15"/>
  <c r="B21" i="15"/>
  <c r="X15" i="15" l="1"/>
  <c r="Q18" i="15"/>
  <c r="E17" i="15"/>
  <c r="F17" i="15" s="1"/>
  <c r="G17" i="15" s="1"/>
  <c r="D18" i="15"/>
  <c r="P19" i="15"/>
  <c r="O19" i="15"/>
  <c r="Y15" i="15"/>
  <c r="Z15" i="15"/>
  <c r="K20" i="15"/>
  <c r="L20" i="15"/>
  <c r="N20" i="15" s="1"/>
  <c r="U17" i="15"/>
  <c r="W16" i="15"/>
  <c r="V16" i="15"/>
  <c r="X16" i="15" s="1"/>
  <c r="Q19" i="15" l="1"/>
  <c r="S19" i="15" s="1"/>
  <c r="E18" i="15"/>
  <c r="F18" i="15" s="1"/>
  <c r="G18" i="15" s="1"/>
  <c r="D19" i="15"/>
  <c r="S18" i="15"/>
  <c r="R18" i="15"/>
  <c r="Y16" i="15"/>
  <c r="Z16" i="15"/>
  <c r="W17" i="15"/>
  <c r="V17" i="15"/>
  <c r="X17" i="15" s="1"/>
  <c r="U18" i="15"/>
  <c r="O20" i="15"/>
  <c r="P20" i="15"/>
  <c r="N21" i="15"/>
  <c r="R19" i="15" l="1"/>
  <c r="Q20" i="15"/>
  <c r="W18" i="15"/>
  <c r="U19" i="15"/>
  <c r="V18" i="15"/>
  <c r="X18" i="15" s="1"/>
  <c r="Z17" i="15"/>
  <c r="Y17" i="15"/>
  <c r="D20" i="15"/>
  <c r="E20" i="15" s="1"/>
  <c r="F20" i="15" s="1"/>
  <c r="G20" i="15" s="1"/>
  <c r="E19" i="15"/>
  <c r="F19" i="15" s="1"/>
  <c r="G19" i="15" s="1"/>
  <c r="Z18" i="15" l="1"/>
  <c r="Y18" i="15"/>
  <c r="W19" i="15"/>
  <c r="V19" i="15"/>
  <c r="U20" i="15"/>
  <c r="S20" i="15"/>
  <c r="R20" i="15"/>
  <c r="X19" i="15" l="1"/>
  <c r="W20" i="15"/>
  <c r="V20" i="15"/>
  <c r="X20" i="15" s="1"/>
  <c r="Z19" i="15"/>
  <c r="Y19" i="15"/>
  <c r="Z20" i="15" l="1"/>
  <c r="Y20" i="15"/>
</calcChain>
</file>

<file path=xl/sharedStrings.xml><?xml version="1.0" encoding="utf-8"?>
<sst xmlns="http://schemas.openxmlformats.org/spreadsheetml/2006/main" count="589" uniqueCount="253">
  <si>
    <t>DesertLink, LLC</t>
  </si>
  <si>
    <t>Six Cities 1-17</t>
  </si>
  <si>
    <t>Total</t>
  </si>
  <si>
    <t>2023 FERC Form 1</t>
  </si>
  <si>
    <t>Exhibit to Responses to Six Cities Data Request Set 1 received November 26, 2024</t>
  </si>
  <si>
    <t>December 18, 2024</t>
  </si>
  <si>
    <t>Six Cities 1-19</t>
  </si>
  <si>
    <t>Six Cities 1-18</t>
  </si>
  <si>
    <t>Six Cities 1-20</t>
  </si>
  <si>
    <t>Account 282 - Accumulated Deferred Income Taxes (actual)</t>
  </si>
  <si>
    <t>Amount</t>
  </si>
  <si>
    <t>debit/&lt;credit&gt;</t>
  </si>
  <si>
    <t>Beginning Balance</t>
  </si>
  <si>
    <t>Less:  Portion not related to transmission</t>
  </si>
  <si>
    <t>Less:  Portion not reflected in rate base</t>
  </si>
  <si>
    <t>Subtotal:  Portion reflected in rate base</t>
  </si>
  <si>
    <t>Less:  Portion subject to proration</t>
  </si>
  <si>
    <t>Portion subject to averaging</t>
  </si>
  <si>
    <t>Ending Balance</t>
  </si>
  <si>
    <t>Less:  Portion subject to proration (before proration)</t>
  </si>
  <si>
    <t>Portion subject to averaging (before averaging)</t>
  </si>
  <si>
    <t>Ending balance of portion subject to proration (prorated)</t>
  </si>
  <si>
    <t>Average balance of portion subject to averaging</t>
  </si>
  <si>
    <t>Amount reflected in rate base</t>
  </si>
  <si>
    <t>Appendix III, line 20, col. 3 (and Att 4, line 15, col. (e))</t>
  </si>
  <si>
    <t>The categories of cumulative book/tax differences and associated deferred tax amounts are detailed below:</t>
  </si>
  <si>
    <t>Account 282 (+ = debit for DTA/DTL amounts)</t>
  </si>
  <si>
    <t>Date</t>
  </si>
  <si>
    <t>Dec. 31, 2022</t>
  </si>
  <si>
    <t>Dec. 31, 2023</t>
  </si>
  <si>
    <t>Tax rate</t>
  </si>
  <si>
    <t>Cumulative book/tax temporary differences</t>
  </si>
  <si>
    <t>Included in rate base and subject to proration</t>
  </si>
  <si>
    <t>Tax depreciation</t>
  </si>
  <si>
    <t>Book depreciation of tax basis</t>
  </si>
  <si>
    <t>Subtotal of temporary differences</t>
  </si>
  <si>
    <t>DTA / &lt;DTL&gt; for such temporary differences</t>
  </si>
  <si>
    <t xml:space="preserve">These amounts relate to items c. and f. of this request. </t>
  </si>
  <si>
    <t>Included in rate base but not subject to proration</t>
  </si>
  <si>
    <t>Removal costs (accrual net of expenditures)</t>
  </si>
  <si>
    <t>Accrual of AFUDC-debt</t>
  </si>
  <si>
    <t>Book depreciation of AFUDC-debt</t>
  </si>
  <si>
    <t>Tax interest capitalization</t>
  </si>
  <si>
    <t>Reversal of tax interest capitalization</t>
  </si>
  <si>
    <t>Book depreciation of acquired accumulated depreciation</t>
  </si>
  <si>
    <t>Excluded from rate base</t>
  </si>
  <si>
    <t>AFUDC-equity accrual</t>
  </si>
  <si>
    <t>AFUDC-equity - book depreciation</t>
  </si>
  <si>
    <t xml:space="preserve">These amounts relate to items b. and e. of this request. </t>
  </si>
  <si>
    <t>Total Temporary Differences - account 282</t>
  </si>
  <si>
    <t>DTA / &lt;DTL&gt; - account 282</t>
  </si>
  <si>
    <t xml:space="preserve">These amounts relate to items a. and d. of this request. </t>
  </si>
  <si>
    <t>282000</t>
  </si>
  <si>
    <t>Def tax liab-other prop-fed</t>
  </si>
  <si>
    <t>282001</t>
  </si>
  <si>
    <t>Def tax liab-other prop- state</t>
  </si>
  <si>
    <t>2023 Annual Update &amp; 2025 Projection</t>
  </si>
  <si>
    <t>Six Cities 1-21</t>
  </si>
  <si>
    <t xml:space="preserve">This amount is the context of the amount in item a. of this request. </t>
  </si>
  <si>
    <t xml:space="preserve">This amount is the context of the amount in item b. of this request. </t>
  </si>
  <si>
    <t>This amount is computed on WP-1 - ADIT.</t>
  </si>
  <si>
    <t xml:space="preserve"> - See below for monthly activity. </t>
  </si>
  <si>
    <t xml:space="preserve">These amounts comprise and support the amounts in items a. and b. of this request. </t>
  </si>
  <si>
    <t>The activity for the portion of account 282 subject to the normalization requirements during 2023 was:</t>
  </si>
  <si>
    <t>The monthly activity for the 2023 increase in the portion of account 282 subject to the normalization requirements is detailed below.</t>
  </si>
  <si>
    <t>Beginning</t>
  </si>
  <si>
    <t>Ending</t>
  </si>
  <si>
    <t>Balance</t>
  </si>
  <si>
    <t>January</t>
  </si>
  <si>
    <t>February</t>
  </si>
  <si>
    <t>March</t>
  </si>
  <si>
    <t>April</t>
  </si>
  <si>
    <t>May</t>
  </si>
  <si>
    <t>June</t>
  </si>
  <si>
    <t>July</t>
  </si>
  <si>
    <t>August</t>
  </si>
  <si>
    <t>September</t>
  </si>
  <si>
    <t>October</t>
  </si>
  <si>
    <t>November</t>
  </si>
  <si>
    <t>December</t>
  </si>
  <si>
    <t>Activity</t>
  </si>
  <si>
    <t>Portion of annual activity during the month</t>
  </si>
  <si>
    <t>2023 Tax Depreciation</t>
  </si>
  <si>
    <t>2023 Book Depreciation Expense of Tax Basis</t>
  </si>
  <si>
    <t>Book/Tax Difference Subject to Normalization Rules</t>
  </si>
  <si>
    <t>annual amount (2023)</t>
  </si>
  <si>
    <t>Federal income tax rate (net of benefit of state)</t>
  </si>
  <si>
    <t>Monthly activity subject to the proration rules</t>
  </si>
  <si>
    <t>State income tax rate</t>
  </si>
  <si>
    <t>Composite income tax rate</t>
  </si>
  <si>
    <t>The amounts in cells G96-R96 above are used in cells K47-K58 of WP1 - ADIT.</t>
  </si>
  <si>
    <t>Six Cities 1-22</t>
  </si>
  <si>
    <t>Account 283 - Accumulated Deferred Income Taxes (actual)</t>
  </si>
  <si>
    <t>Appendix III, line 21, col. 3 (and Att 4, line 15, col. (f))</t>
  </si>
  <si>
    <t>Account 283 (+ = debit for DTA/DTL amounts)</t>
  </si>
  <si>
    <t>None</t>
  </si>
  <si>
    <t>Accrual of Reg Carrying Charges-Debt Rate</t>
  </si>
  <si>
    <t>Amortization of Reg Carrying Charges-Debt Rate</t>
  </si>
  <si>
    <t>Regulatory Asset - AFUDC-equity (gross-up)</t>
  </si>
  <si>
    <t>Accrual of Reg Carrying Charge-Equity Rate</t>
  </si>
  <si>
    <t>Amortization of Reg Carrying Charge-Equity Rate</t>
  </si>
  <si>
    <t>Regulatory Asset - Reg Carrying Charge-Equity (gross-up)</t>
  </si>
  <si>
    <t xml:space="preserve">These amounts relate to items b. and d. of this request. </t>
  </si>
  <si>
    <t>Total Temporary Differences - account 283</t>
  </si>
  <si>
    <t>DTA / &lt;DTL&gt; - account 283</t>
  </si>
  <si>
    <t xml:space="preserve">These amounts relate to items a. and c. of this request. </t>
  </si>
  <si>
    <t>Six Cities 1-23</t>
  </si>
  <si>
    <t>Account 190 - Accumulated Deferred Income Taxes (actual)</t>
  </si>
  <si>
    <t>Appendix III, line 22, col. 3 (and Att 4, line 15, col. (g))</t>
  </si>
  <si>
    <t>Account 190 (+ = debit for DTA/DTL amounts)</t>
  </si>
  <si>
    <t>Start-up costs (capitalized for tax purposes)</t>
  </si>
  <si>
    <t>Amortization of start-up costs</t>
  </si>
  <si>
    <t>Amortization of capitalized pre-commercial costs (net)</t>
  </si>
  <si>
    <t xml:space="preserve">These amounts relate to items a. and b. of this request. </t>
  </si>
  <si>
    <t>Total Temporary Differences - account 190</t>
  </si>
  <si>
    <t>DTA / &lt;DTL&gt; - account 190</t>
  </si>
  <si>
    <t>Deferred tax asset-Federal</t>
  </si>
  <si>
    <t>Deferred tax asset- state</t>
  </si>
  <si>
    <t>AFUDC-equity</t>
  </si>
  <si>
    <t>Portion of</t>
  </si>
  <si>
    <t>Portion of Book</t>
  </si>
  <si>
    <t>Book</t>
  </si>
  <si>
    <t>Placed-in-service</t>
  </si>
  <si>
    <t>Tax Life and</t>
  </si>
  <si>
    <t>Gross</t>
  </si>
  <si>
    <t>Basis Due to</t>
  </si>
  <si>
    <t>Depreciation</t>
  </si>
  <si>
    <t>Year</t>
  </si>
  <si>
    <t>Month</t>
  </si>
  <si>
    <t xml:space="preserve">Quarter </t>
  </si>
  <si>
    <t>Convention</t>
  </si>
  <si>
    <t>Description</t>
  </si>
  <si>
    <t>Book Basis</t>
  </si>
  <si>
    <t>AFUDC Equity</t>
  </si>
  <si>
    <t>2020 book additions</t>
  </si>
  <si>
    <t>SL</t>
  </si>
  <si>
    <t>SL 20 years</t>
  </si>
  <si>
    <t>303.2  Intangible - Interconnect</t>
  </si>
  <si>
    <t>HY 15</t>
  </si>
  <si>
    <t>303.3  Intangible - License</t>
  </si>
  <si>
    <t>HY 70</t>
  </si>
  <si>
    <t>350.2  Land Rights</t>
  </si>
  <si>
    <t>Q3</t>
  </si>
  <si>
    <t>353  Station equipment</t>
  </si>
  <si>
    <t>354  Towers and fixtures</t>
  </si>
  <si>
    <t>355  Poles and fixtures - self-constructed</t>
  </si>
  <si>
    <t>355  Poles and fixtures - acquired</t>
  </si>
  <si>
    <t>356  Overhead conductors and devices - self-constructed</t>
  </si>
  <si>
    <t>356  Overhead conductors and devices - acquired</t>
  </si>
  <si>
    <t>HY 5</t>
  </si>
  <si>
    <t>3911  Computer Hardware</t>
  </si>
  <si>
    <t>Sub-total 2020 Additions</t>
  </si>
  <si>
    <t>Trailing charges for 2020 tax additions recorded through June 2021</t>
  </si>
  <si>
    <t>303.2 Intangible - Interconnect</t>
  </si>
  <si>
    <t>350.2 Land rights</t>
  </si>
  <si>
    <t>353 Station equipment</t>
  </si>
  <si>
    <t>354 Towers and fixtures</t>
  </si>
  <si>
    <t>355 Poles and fixtures</t>
  </si>
  <si>
    <t>356 OH conductors &amp; devices</t>
  </si>
  <si>
    <t>All vintages</t>
  </si>
  <si>
    <t>2021 additions</t>
  </si>
  <si>
    <t>Q4</t>
  </si>
  <si>
    <t>303  Miscellaneous intangibles (software)</t>
  </si>
  <si>
    <t>Intangible License</t>
  </si>
  <si>
    <t>350.2  Land rights</t>
  </si>
  <si>
    <t>Structures and imprvmnts.</t>
  </si>
  <si>
    <t>Station eqpmnt.</t>
  </si>
  <si>
    <t>355  Poles and fixtures</t>
  </si>
  <si>
    <t>356  OH conductors &amp; devices</t>
  </si>
  <si>
    <t>Total 2021 Additions</t>
  </si>
  <si>
    <t>2022 additions</t>
  </si>
  <si>
    <t>303.1 Misc. Intangible - SW</t>
  </si>
  <si>
    <t>Total 2022 Additions</t>
  </si>
  <si>
    <t>2023 additions</t>
  </si>
  <si>
    <t>Q1</t>
  </si>
  <si>
    <t>Q2</t>
  </si>
  <si>
    <t xml:space="preserve">All vintages </t>
  </si>
  <si>
    <t>Six Cities 1-26</t>
  </si>
  <si>
    <t>Six Cities 1-27</t>
  </si>
  <si>
    <t>Account</t>
  </si>
  <si>
    <t>182304</t>
  </si>
  <si>
    <t>OtherRegCarryCharge-EquityRate</t>
  </si>
  <si>
    <t>End of Year</t>
  </si>
  <si>
    <t>Book/Tax Difference by Quarter (Carrying Costs - Equity)</t>
  </si>
  <si>
    <t>Quarterly entries (on a year-to-date basis)</t>
  </si>
  <si>
    <t>Year-end Balances</t>
  </si>
  <si>
    <t>Annual</t>
  </si>
  <si>
    <t>Federal/State</t>
  </si>
  <si>
    <t>Fed DTA / (DTL) on Reg asset-CC-equity</t>
  </si>
  <si>
    <t>State DTA / (DTL) on Reg Asset-CC-equity</t>
  </si>
  <si>
    <t>Reg Asset  - tax gross-up on CC-equity</t>
  </si>
  <si>
    <t xml:space="preserve"> Fed DTA / (DTL) on RA for tax gross-up</t>
  </si>
  <si>
    <t xml:space="preserve"> State DTA / (DTL) on RA for tax gross-up</t>
  </si>
  <si>
    <t>Amortization of</t>
  </si>
  <si>
    <t>Book/Tax Amort.</t>
  </si>
  <si>
    <t>Cumulative</t>
  </si>
  <si>
    <t>DTA / &lt;DTL&gt;</t>
  </si>
  <si>
    <t>Regulatory Asset</t>
  </si>
  <si>
    <t>Current period Book/Tax Difference</t>
  </si>
  <si>
    <t>FERC only</t>
  </si>
  <si>
    <t>Bk/Tax Diff</t>
  </si>
  <si>
    <t>CC-equity</t>
  </si>
  <si>
    <t>CC-equity tax GU</t>
  </si>
  <si>
    <t>RA-CC-equ Tax GU</t>
  </si>
  <si>
    <t>Cumulative Difference</t>
  </si>
  <si>
    <t>Q1 (3 months)</t>
  </si>
  <si>
    <t>Q2 (6 months)</t>
  </si>
  <si>
    <t>Q3 (9 months)</t>
  </si>
  <si>
    <t>Q4 (12 months)</t>
  </si>
  <si>
    <t>At beginning of operations</t>
  </si>
  <si>
    <t>Dec. 31, 2020</t>
  </si>
  <si>
    <t>Dec. 31, 2021</t>
  </si>
  <si>
    <t>Dec. 31, 2024</t>
  </si>
  <si>
    <t>Dec. 31, 2025</t>
  </si>
  <si>
    <t xml:space="preserve"> </t>
  </si>
  <si>
    <t>RY 2022: Account 561.5 - Reliability, Planning and Standards Development</t>
  </si>
  <si>
    <t>Transaction Type</t>
  </si>
  <si>
    <t>Compliance department- affiliate labor</t>
  </si>
  <si>
    <t>Compliance department- affiliate overhead</t>
  </si>
  <si>
    <t>Compliance department- affiliate travel and expense</t>
  </si>
  <si>
    <t>Compliance department- third-party support (AssurX)</t>
  </si>
  <si>
    <t>Planning department- affiliate labor</t>
  </si>
  <si>
    <t>Planning department- affiliate overhead</t>
  </si>
  <si>
    <t>Planning department- affiliate travel and expense</t>
  </si>
  <si>
    <t>Planning department- third party support (RBJ Engineering)</t>
  </si>
  <si>
    <t>Planning department- third party support (Utility System Efficiencies)</t>
  </si>
  <si>
    <t>RY 2023: Account 561.5 - Reliability, Planning and Standards Development</t>
  </si>
  <si>
    <t>Planning department- third party support (Burns &amp; McDonnell)</t>
  </si>
  <si>
    <t>Planning department- third party support (General Electric)</t>
  </si>
  <si>
    <t>JAN</t>
  </si>
  <si>
    <t>FEB</t>
  </si>
  <si>
    <t>MAR</t>
  </si>
  <si>
    <t>APR</t>
  </si>
  <si>
    <t>MAY</t>
  </si>
  <si>
    <t>JUN</t>
  </si>
  <si>
    <t>JUL</t>
  </si>
  <si>
    <t>AUG</t>
  </si>
  <si>
    <t>SEP</t>
  </si>
  <si>
    <t>OCT</t>
  </si>
  <si>
    <t>NOV</t>
  </si>
  <si>
    <t>DEC</t>
  </si>
  <si>
    <t>RY 2022: Account 562 - Station Expenses</t>
  </si>
  <si>
    <t>RY 2023: Account 562 - Station Expenses</t>
  </si>
  <si>
    <t>NV Energy- electric services</t>
  </si>
  <si>
    <t>NV Energy- inspections, patrols</t>
  </si>
  <si>
    <t>PAR Western Line Contractors- equipment</t>
  </si>
  <si>
    <t>RY 2022: Account 926 - Employee Pensions and Benefits</t>
  </si>
  <si>
    <t>RY 2023: Account 926 - Employee Pensions and Benefits</t>
  </si>
  <si>
    <t>Affiliate labor- benefits</t>
  </si>
  <si>
    <t>The amounts listed in Six Cities 1-20 are used in the following computation of the reduction of rate base for accumulated deferred income tax liabilities recorded in account 282.</t>
  </si>
  <si>
    <t xml:space="preserve">The amounts listed in Six Cities 1-21 are used in the following computation of the reduction of rate base for accumulated deferred income tax liabilities recorded in account 282.  The amounts are the portions of the account 282 balances subject to the normalization requirements, including the proration rules. </t>
  </si>
  <si>
    <t>The amounts listed in Six Cities 1-22 are used in the following computation of the reduction of rate base for accumulated deferred income tax liabilities recorded in account 283.</t>
  </si>
  <si>
    <t>The amounts in Six Cities 1-23 are used in the following computation of the reduction of rate base for accumulated deferred income tax liabilities recorded in account 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</si>
</sst>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000%"/>
  </numFmts>
  <fonts count="20">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font>
    <font>
      <b/>
      <sz val="12"/>
      <color theme="1"/>
      <name val="Calibri"/>
      <family val="2"/>
    </font>
    <font>
      <b/>
      <sz val="11"/>
      <name val="Calibri"/>
      <family val="2"/>
    </font>
    <font>
      <sz val="11"/>
      <name val="Calibri"/>
      <family val="2"/>
    </font>
    <font>
      <sz val="11"/>
      <name val="Calibri"/>
      <family val="2"/>
      <scheme val="minor"/>
    </font>
    <font>
      <i/>
      <sz val="11"/>
      <name val="Calibri"/>
      <family val="2"/>
    </font>
    <font>
      <b/>
      <sz val="12"/>
      <name val="Calibri"/>
      <family val="2"/>
    </font>
    <font>
      <sz val="12"/>
      <name val="Calibri"/>
      <family val="2"/>
    </font>
    <font>
      <i/>
      <sz val="12"/>
      <name val="Calibri"/>
      <family val="2"/>
    </font>
    <font>
      <b/>
      <sz val="12"/>
      <color theme="0" tint="-0.249977111117893"/>
      <name val="Calibri"/>
      <family val="2"/>
    </font>
    <font>
      <sz val="12"/>
      <color theme="1" tint="0.249977111117893"/>
      <name val="Calibri"/>
      <family val="2"/>
    </font>
    <font>
      <sz val="12"/>
      <name val="Arial MT"/>
    </font>
    <font>
      <sz val="12"/>
      <name val="Calibri"/>
      <family val="2"/>
      <scheme val="minor"/>
    </font>
    <font>
      <b/>
      <sz val="12"/>
      <color rgb="FFFF0000"/>
      <name val="Calibri"/>
      <family val="2"/>
    </font>
    <font>
      <i/>
      <sz val="12"/>
      <color theme="1"/>
      <name val="Calibri"/>
      <family val="2"/>
    </font>
    <font>
      <b/>
      <i/>
      <u/>
      <sz val="12"/>
      <color theme="1"/>
      <name val="Calibri"/>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bottom style="thin">
        <color theme="0" tint="-0.499984740745262"/>
      </bottom>
      <diagonal/>
    </border>
    <border>
      <left/>
      <right/>
      <top/>
      <bottom style="thick">
        <color indexed="64"/>
      </bottom>
      <diagonal/>
    </border>
  </borders>
  <cellStyleXfs count="10">
    <xf numFmtId="0" fontId="0"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165" fontId="14" fillId="0" borderId="0" applyProtection="0"/>
    <xf numFmtId="9" fontId="14" fillId="0" borderId="0" applyFont="0" applyFill="0" applyBorder="0" applyAlignment="0" applyProtection="0"/>
    <xf numFmtId="43" fontId="14" fillId="0" borderId="0" applyFont="0" applyFill="0" applyBorder="0" applyAlignment="0" applyProtection="0"/>
  </cellStyleXfs>
  <cellXfs count="106">
    <xf numFmtId="0" fontId="0" fillId="0" borderId="0" xfId="0"/>
    <xf numFmtId="0" fontId="0" fillId="2" borderId="0" xfId="0" applyFill="1"/>
    <xf numFmtId="0" fontId="2" fillId="2" borderId="0" xfId="0" applyFont="1" applyFill="1"/>
    <xf numFmtId="0" fontId="3" fillId="2" borderId="0" xfId="4" applyFont="1" applyFill="1"/>
    <xf numFmtId="43" fontId="3" fillId="2" borderId="0" xfId="4" applyNumberFormat="1" applyFont="1" applyFill="1"/>
    <xf numFmtId="0" fontId="3" fillId="2" borderId="0" xfId="0" applyFont="1" applyFill="1"/>
    <xf numFmtId="0" fontId="0" fillId="2" borderId="0" xfId="0" quotePrefix="1" applyFill="1"/>
    <xf numFmtId="15" fontId="3" fillId="2" borderId="0" xfId="0" quotePrefix="1" applyNumberFormat="1" applyFont="1" applyFill="1"/>
    <xf numFmtId="0" fontId="4" fillId="2" borderId="0" xfId="0" applyFont="1" applyFill="1"/>
    <xf numFmtId="164" fontId="4" fillId="2" borderId="0" xfId="0" applyNumberFormat="1" applyFont="1" applyFill="1" applyAlignment="1">
      <alignment horizontal="center"/>
    </xf>
    <xf numFmtId="164" fontId="3" fillId="2" borderId="0" xfId="0" applyNumberFormat="1" applyFont="1" applyFill="1"/>
    <xf numFmtId="164" fontId="3" fillId="2" borderId="1" xfId="0" applyNumberFormat="1" applyFont="1" applyFill="1" applyBorder="1"/>
    <xf numFmtId="164" fontId="3" fillId="2" borderId="2" xfId="0" applyNumberFormat="1" applyFont="1" applyFill="1" applyBorder="1"/>
    <xf numFmtId="0" fontId="5" fillId="2" borderId="0" xfId="4" applyFont="1" applyFill="1"/>
    <xf numFmtId="0" fontId="6" fillId="2" borderId="0" xfId="4" applyFont="1" applyFill="1"/>
    <xf numFmtId="0" fontId="5" fillId="2" borderId="0" xfId="4" applyFont="1" applyFill="1" applyAlignment="1">
      <alignment horizontal="center"/>
    </xf>
    <xf numFmtId="10" fontId="7" fillId="2" borderId="0" xfId="4" applyNumberFormat="1" applyFont="1" applyFill="1" applyAlignment="1">
      <alignment horizontal="right"/>
    </xf>
    <xf numFmtId="0" fontId="8" fillId="2" borderId="0" xfId="4" applyFont="1" applyFill="1"/>
    <xf numFmtId="41" fontId="6" fillId="2" borderId="0" xfId="4" applyNumberFormat="1" applyFont="1" applyFill="1"/>
    <xf numFmtId="164" fontId="6" fillId="2" borderId="3" xfId="4" applyNumberFormat="1" applyFont="1" applyFill="1" applyBorder="1"/>
    <xf numFmtId="164" fontId="6" fillId="2" borderId="4" xfId="4" applyNumberFormat="1" applyFont="1" applyFill="1" applyBorder="1"/>
    <xf numFmtId="164" fontId="6" fillId="2" borderId="0" xfId="4" applyNumberFormat="1" applyFont="1" applyFill="1"/>
    <xf numFmtId="164" fontId="6" fillId="2" borderId="2" xfId="4" applyNumberFormat="1" applyFont="1" applyFill="1" applyBorder="1"/>
    <xf numFmtId="0" fontId="9" fillId="2" borderId="0" xfId="4" applyFont="1" applyFill="1"/>
    <xf numFmtId="0" fontId="10" fillId="2" borderId="0" xfId="4" applyFont="1" applyFill="1"/>
    <xf numFmtId="0" fontId="9" fillId="2" borderId="0" xfId="4" applyFont="1" applyFill="1" applyAlignment="1">
      <alignment horizontal="center"/>
    </xf>
    <xf numFmtId="10" fontId="10" fillId="2" borderId="0" xfId="4" applyNumberFormat="1" applyFont="1" applyFill="1" applyAlignment="1">
      <alignment horizontal="right"/>
    </xf>
    <xf numFmtId="0" fontId="11" fillId="2" borderId="0" xfId="4" applyFont="1" applyFill="1"/>
    <xf numFmtId="41" fontId="10" fillId="2" borderId="0" xfId="4" applyNumberFormat="1" applyFont="1" applyFill="1"/>
    <xf numFmtId="164" fontId="10" fillId="2" borderId="3" xfId="4" applyNumberFormat="1" applyFont="1" applyFill="1" applyBorder="1"/>
    <xf numFmtId="164" fontId="10" fillId="2" borderId="4" xfId="4" applyNumberFormat="1" applyFont="1" applyFill="1" applyBorder="1"/>
    <xf numFmtId="164" fontId="10" fillId="2" borderId="0" xfId="4" applyNumberFormat="1" applyFont="1" applyFill="1"/>
    <xf numFmtId="164" fontId="10" fillId="2" borderId="2" xfId="4" applyNumberFormat="1" applyFont="1" applyFill="1" applyBorder="1"/>
    <xf numFmtId="0" fontId="4" fillId="2" borderId="0" xfId="5" applyFont="1" applyFill="1" applyAlignment="1">
      <alignment horizontal="center"/>
    </xf>
    <xf numFmtId="0" fontId="4" fillId="2" borderId="5" xfId="5" applyFont="1" applyFill="1" applyBorder="1" applyAlignment="1">
      <alignment horizontal="center"/>
    </xf>
    <xf numFmtId="0" fontId="12" fillId="2" borderId="5" xfId="5" applyFont="1" applyFill="1" applyBorder="1" applyAlignment="1">
      <alignment horizontal="center"/>
    </xf>
    <xf numFmtId="14" fontId="4" fillId="2" borderId="6" xfId="5" applyNumberFormat="1" applyFont="1" applyFill="1" applyBorder="1" applyAlignment="1">
      <alignment horizontal="center"/>
    </xf>
    <xf numFmtId="0" fontId="4" fillId="2" borderId="6" xfId="5" applyFont="1" applyFill="1" applyBorder="1" applyAlignment="1">
      <alignment horizontal="center"/>
    </xf>
    <xf numFmtId="0" fontId="13" fillId="2" borderId="0" xfId="5" applyFont="1" applyFill="1"/>
    <xf numFmtId="0" fontId="3" fillId="2" borderId="0" xfId="5" applyFont="1" applyFill="1"/>
    <xf numFmtId="41" fontId="13" fillId="2" borderId="0" xfId="6" applyNumberFormat="1" applyFont="1" applyFill="1"/>
    <xf numFmtId="41" fontId="3" fillId="2" borderId="0" xfId="5" applyNumberFormat="1" applyFont="1" applyFill="1"/>
    <xf numFmtId="165" fontId="10" fillId="2" borderId="0" xfId="7" applyFont="1" applyFill="1"/>
    <xf numFmtId="41" fontId="3" fillId="2" borderId="2" xfId="5" applyNumberFormat="1" applyFont="1" applyFill="1" applyBorder="1"/>
    <xf numFmtId="41" fontId="10" fillId="2" borderId="0" xfId="7" applyNumberFormat="1" applyFont="1" applyFill="1"/>
    <xf numFmtId="10" fontId="10" fillId="2" borderId="0" xfId="8" applyNumberFormat="1" applyFont="1" applyFill="1"/>
    <xf numFmtId="9" fontId="10" fillId="2" borderId="0" xfId="8" applyFont="1" applyFill="1"/>
    <xf numFmtId="164" fontId="10" fillId="2" borderId="0" xfId="9" applyNumberFormat="1" applyFont="1" applyFill="1"/>
    <xf numFmtId="165" fontId="6" fillId="2" borderId="0" xfId="7" applyFont="1" applyFill="1"/>
    <xf numFmtId="164" fontId="10" fillId="2" borderId="2" xfId="9" applyNumberFormat="1" applyFont="1" applyFill="1" applyBorder="1"/>
    <xf numFmtId="10" fontId="10" fillId="2" borderId="1" xfId="7" applyNumberFormat="1" applyFont="1" applyFill="1" applyBorder="1" applyAlignment="1">
      <alignment horizontal="right"/>
    </xf>
    <xf numFmtId="0" fontId="10" fillId="2" borderId="0" xfId="5" applyFont="1" applyFill="1" applyAlignment="1">
      <alignment horizontal="center"/>
    </xf>
    <xf numFmtId="0" fontId="10" fillId="2" borderId="0" xfId="5" applyFont="1" applyFill="1" applyAlignment="1">
      <alignment horizontal="center" vertical="center"/>
    </xf>
    <xf numFmtId="10" fontId="15" fillId="2" borderId="0" xfId="4" applyNumberFormat="1" applyFont="1" applyFill="1" applyAlignment="1">
      <alignment horizontal="right"/>
    </xf>
    <xf numFmtId="0" fontId="10" fillId="2" borderId="0" xfId="4" applyFont="1" applyFill="1" applyAlignment="1">
      <alignment horizontal="left"/>
    </xf>
    <xf numFmtId="9" fontId="10" fillId="2" borderId="0" xfId="4" applyNumberFormat="1" applyFont="1" applyFill="1"/>
    <xf numFmtId="0" fontId="9" fillId="2" borderId="0" xfId="4" applyFont="1" applyFill="1" applyAlignment="1">
      <alignment horizontal="center" vertical="center"/>
    </xf>
    <xf numFmtId="0" fontId="4" fillId="2" borderId="0" xfId="4" applyFont="1" applyFill="1" applyAlignment="1">
      <alignment horizontal="center" vertical="center"/>
    </xf>
    <xf numFmtId="0" fontId="16" fillId="2" borderId="0" xfId="4" applyFont="1" applyFill="1"/>
    <xf numFmtId="0" fontId="10" fillId="2" borderId="0" xfId="4" applyFont="1" applyFill="1" applyAlignment="1">
      <alignment horizontal="center"/>
    </xf>
    <xf numFmtId="0" fontId="10" fillId="2" borderId="0" xfId="4" applyFont="1" applyFill="1" applyAlignment="1">
      <alignment horizontal="center" vertical="center"/>
    </xf>
    <xf numFmtId="0" fontId="10" fillId="2" borderId="3" xfId="4" applyFont="1" applyFill="1" applyBorder="1"/>
    <xf numFmtId="0" fontId="10" fillId="2" borderId="3" xfId="4" applyFont="1" applyFill="1" applyBorder="1" applyAlignment="1">
      <alignment horizontal="center"/>
    </xf>
    <xf numFmtId="0" fontId="10" fillId="2" borderId="3" xfId="4" applyFont="1" applyFill="1" applyBorder="1" applyAlignment="1">
      <alignment horizontal="center" vertical="center"/>
    </xf>
    <xf numFmtId="41" fontId="10" fillId="2" borderId="3" xfId="4" applyNumberFormat="1" applyFont="1" applyFill="1" applyBorder="1"/>
    <xf numFmtId="164" fontId="10" fillId="2" borderId="0" xfId="4" applyNumberFormat="1" applyFont="1" applyFill="1" applyAlignment="1">
      <alignment vertical="center"/>
    </xf>
    <xf numFmtId="0" fontId="10" fillId="2" borderId="0" xfId="4" applyFont="1" applyFill="1" applyAlignment="1">
      <alignment vertical="center"/>
    </xf>
    <xf numFmtId="164" fontId="10" fillId="2" borderId="0" xfId="4" applyNumberFormat="1" applyFont="1" applyFill="1" applyAlignment="1">
      <alignment horizontal="right"/>
    </xf>
    <xf numFmtId="43" fontId="10" fillId="2" borderId="0" xfId="4" applyNumberFormat="1" applyFont="1" applyFill="1"/>
    <xf numFmtId="41" fontId="10" fillId="2" borderId="2" xfId="4" applyNumberFormat="1" applyFont="1" applyFill="1" applyBorder="1"/>
    <xf numFmtId="43" fontId="3" fillId="2" borderId="0" xfId="0" applyNumberFormat="1" applyFont="1" applyFill="1"/>
    <xf numFmtId="0" fontId="17" fillId="2" borderId="0" xfId="4" applyFont="1" applyFill="1"/>
    <xf numFmtId="43" fontId="4" fillId="2" borderId="0" xfId="4" applyNumberFormat="1" applyFont="1" applyFill="1" applyAlignment="1">
      <alignment horizontal="center"/>
    </xf>
    <xf numFmtId="0" fontId="18" fillId="2" borderId="0" xfId="4" applyFont="1" applyFill="1" applyAlignment="1">
      <alignment horizontal="left"/>
    </xf>
    <xf numFmtId="0" fontId="18" fillId="2" borderId="0" xfId="4" applyFont="1" applyFill="1"/>
    <xf numFmtId="0" fontId="4" fillId="2" borderId="0" xfId="4" applyFont="1" applyFill="1"/>
    <xf numFmtId="10" fontId="4" fillId="2" borderId="0" xfId="4" applyNumberFormat="1" applyFont="1" applyFill="1"/>
    <xf numFmtId="0" fontId="4" fillId="2" borderId="0" xfId="4" applyFont="1" applyFill="1" applyAlignment="1">
      <alignment horizontal="center"/>
    </xf>
    <xf numFmtId="0" fontId="4" fillId="2" borderId="0" xfId="4" applyFont="1" applyFill="1" applyAlignment="1">
      <alignment horizontal="left"/>
    </xf>
    <xf numFmtId="0" fontId="4" fillId="2" borderId="1" xfId="4" applyFont="1" applyFill="1" applyBorder="1" applyAlignment="1">
      <alignment horizontal="center"/>
    </xf>
    <xf numFmtId="10" fontId="4" fillId="2" borderId="1" xfId="4" applyNumberFormat="1" applyFont="1" applyFill="1" applyBorder="1"/>
    <xf numFmtId="166" fontId="4" fillId="2" borderId="1" xfId="4" applyNumberFormat="1" applyFont="1" applyFill="1" applyBorder="1"/>
    <xf numFmtId="0" fontId="4" fillId="2" borderId="1" xfId="4" applyFont="1" applyFill="1" applyBorder="1" applyAlignment="1">
      <alignment horizontal="center" vertical="center"/>
    </xf>
    <xf numFmtId="0" fontId="4" fillId="2" borderId="0" xfId="4" applyFont="1" applyFill="1" applyAlignment="1">
      <alignment wrapText="1"/>
    </xf>
    <xf numFmtId="0" fontId="3" fillId="2" borderId="0" xfId="4" applyFont="1" applyFill="1" applyAlignment="1">
      <alignment horizontal="left"/>
    </xf>
    <xf numFmtId="164" fontId="3" fillId="2" borderId="0" xfId="4" applyNumberFormat="1" applyFont="1" applyFill="1"/>
    <xf numFmtId="164" fontId="3" fillId="2" borderId="0" xfId="4" applyNumberFormat="1" applyFont="1" applyFill="1" applyAlignment="1">
      <alignment horizontal="center"/>
    </xf>
    <xf numFmtId="164" fontId="4" fillId="2" borderId="0" xfId="4" applyNumberFormat="1" applyFont="1" applyFill="1"/>
    <xf numFmtId="0" fontId="3" fillId="2" borderId="0" xfId="4" applyFont="1" applyFill="1" applyAlignment="1">
      <alignment horizontal="center"/>
    </xf>
    <xf numFmtId="164" fontId="3" fillId="2" borderId="2" xfId="4" applyNumberFormat="1" applyFont="1" applyFill="1" applyBorder="1"/>
    <xf numFmtId="44" fontId="0" fillId="2" borderId="0" xfId="1" applyFont="1" applyFill="1"/>
    <xf numFmtId="44" fontId="0" fillId="2" borderId="0" xfId="1" applyFont="1" applyFill="1" applyBorder="1"/>
    <xf numFmtId="0" fontId="0" fillId="2" borderId="7" xfId="0" applyFill="1" applyBorder="1"/>
    <xf numFmtId="44" fontId="0" fillId="2" borderId="7" xfId="1" applyFont="1" applyFill="1" applyBorder="1"/>
    <xf numFmtId="0" fontId="2" fillId="2" borderId="7" xfId="0" applyFont="1" applyFill="1" applyBorder="1"/>
    <xf numFmtId="0" fontId="2" fillId="2" borderId="7" xfId="0" applyFont="1" applyFill="1" applyBorder="1" applyAlignment="1">
      <alignment horizontal="center"/>
    </xf>
    <xf numFmtId="44" fontId="2" fillId="2" borderId="0" xfId="0" applyNumberFormat="1" applyFont="1" applyFill="1"/>
    <xf numFmtId="44" fontId="2" fillId="2" borderId="7" xfId="0" applyNumberFormat="1" applyFont="1" applyFill="1" applyBorder="1"/>
    <xf numFmtId="0" fontId="2" fillId="2" borderId="8" xfId="0" applyFont="1" applyFill="1" applyBorder="1"/>
    <xf numFmtId="44" fontId="2" fillId="2" borderId="7" xfId="1" applyFont="1" applyFill="1" applyBorder="1"/>
    <xf numFmtId="44" fontId="2" fillId="2" borderId="0" xfId="1" applyFont="1" applyFill="1"/>
    <xf numFmtId="44" fontId="2" fillId="2" borderId="0" xfId="1" applyFont="1" applyFill="1" applyBorder="1"/>
    <xf numFmtId="0" fontId="3" fillId="2" borderId="0" xfId="0" applyFont="1" applyFill="1" applyAlignment="1">
      <alignment horizontal="left" wrapText="1"/>
    </xf>
    <xf numFmtId="0" fontId="9" fillId="2" borderId="0" xfId="4" applyFont="1" applyFill="1" applyAlignment="1">
      <alignment horizontal="center"/>
    </xf>
    <xf numFmtId="0" fontId="4" fillId="2" borderId="0" xfId="4" applyFont="1" applyFill="1" applyAlignment="1">
      <alignment horizontal="center" wrapText="1"/>
    </xf>
    <xf numFmtId="0" fontId="4" fillId="2" borderId="1" xfId="4" applyFont="1" applyFill="1" applyBorder="1" applyAlignment="1">
      <alignment horizontal="center" wrapText="1"/>
    </xf>
  </cellXfs>
  <cellStyles count="10">
    <cellStyle name="Comma 21 2 2 2" xfId="6" xr:uid="{E9FD6BED-675C-467B-AC67-5DDDAAD4EC42}"/>
    <cellStyle name="Comma 3" xfId="9" xr:uid="{5896951D-7114-4133-B0E6-E1A5AB0927A3}"/>
    <cellStyle name="Comma 4" xfId="3" xr:uid="{00000000-0005-0000-0000-000000000000}"/>
    <cellStyle name="Currency" xfId="1" builtinId="4"/>
    <cellStyle name="Normal" xfId="0" builtinId="0"/>
    <cellStyle name="Normal 28 2 2 2" xfId="5" xr:uid="{59D842C3-B605-4F58-B1A0-BECC1D7A3713}"/>
    <cellStyle name="Normal 3 3" xfId="7" xr:uid="{51B40D1A-9675-429F-9894-1610CCFF5EF1}"/>
    <cellStyle name="Normal 6" xfId="2" xr:uid="{00000000-0005-0000-0000-000003000000}"/>
    <cellStyle name="Normal 8" xfId="4" xr:uid="{F165C722-33F4-459A-8010-DEE9F9A3C9EA}"/>
    <cellStyle name="Percent 2 3" xfId="8" xr:uid="{B0C94850-6C64-4BB3-A340-61F5641413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8"/>
  <sheetViews>
    <sheetView showGridLines="0" view="pageBreakPreview" zoomScaleNormal="100" zoomScaleSheetLayoutView="100" workbookViewId="0"/>
  </sheetViews>
  <sheetFormatPr defaultRowHeight="15"/>
  <cols>
    <col min="1" max="1" width="65.5703125" style="1" customWidth="1"/>
    <col min="2" max="13" width="11.5703125" style="1" bestFit="1" customWidth="1"/>
    <col min="14" max="14" width="12.5703125" style="1" bestFit="1" customWidth="1"/>
    <col min="15" max="16384" width="9.140625" style="1"/>
  </cols>
  <sheetData>
    <row r="1" spans="1:14">
      <c r="A1" s="2" t="s">
        <v>0</v>
      </c>
    </row>
    <row r="2" spans="1:14">
      <c r="A2" s="1" t="s">
        <v>3</v>
      </c>
    </row>
    <row r="3" spans="1:14">
      <c r="A3" s="1" t="s">
        <v>4</v>
      </c>
    </row>
    <row r="4" spans="1:14">
      <c r="A4" s="6" t="s">
        <v>5</v>
      </c>
    </row>
    <row r="5" spans="1:14">
      <c r="A5" s="1" t="s">
        <v>1</v>
      </c>
    </row>
    <row r="8" spans="1:14" ht="15.75" thickBot="1">
      <c r="A8" s="98" t="s">
        <v>215</v>
      </c>
    </row>
    <row r="9" spans="1:14" ht="15.75" thickTop="1"/>
    <row r="10" spans="1:14">
      <c r="A10" s="94" t="s">
        <v>216</v>
      </c>
      <c r="B10" s="95" t="s">
        <v>229</v>
      </c>
      <c r="C10" s="95" t="s">
        <v>230</v>
      </c>
      <c r="D10" s="95" t="s">
        <v>231</v>
      </c>
      <c r="E10" s="95" t="s">
        <v>232</v>
      </c>
      <c r="F10" s="95" t="s">
        <v>233</v>
      </c>
      <c r="G10" s="95" t="s">
        <v>234</v>
      </c>
      <c r="H10" s="95" t="s">
        <v>235</v>
      </c>
      <c r="I10" s="95" t="s">
        <v>236</v>
      </c>
      <c r="J10" s="95" t="s">
        <v>237</v>
      </c>
      <c r="K10" s="95" t="s">
        <v>238</v>
      </c>
      <c r="L10" s="95" t="s">
        <v>239</v>
      </c>
      <c r="M10" s="95" t="s">
        <v>240</v>
      </c>
      <c r="N10" s="95" t="s">
        <v>2</v>
      </c>
    </row>
    <row r="11" spans="1:14">
      <c r="A11" s="1" t="s">
        <v>217</v>
      </c>
      <c r="B11" s="90">
        <v>5195.1499999999996</v>
      </c>
      <c r="C11" s="90">
        <v>5145.38</v>
      </c>
      <c r="D11" s="90">
        <v>4481.3</v>
      </c>
      <c r="E11" s="90">
        <v>3952.1500000000005</v>
      </c>
      <c r="F11" s="90">
        <v>3271.8399999999997</v>
      </c>
      <c r="G11" s="90">
        <v>5077.91</v>
      </c>
      <c r="H11" s="90">
        <v>4496.8</v>
      </c>
      <c r="I11" s="90">
        <v>5753.34</v>
      </c>
      <c r="J11" s="90">
        <v>4720.59</v>
      </c>
      <c r="K11" s="90">
        <v>7559.0199999999995</v>
      </c>
      <c r="L11" s="90">
        <v>2949.74</v>
      </c>
      <c r="M11" s="90">
        <v>1334.1000000000004</v>
      </c>
      <c r="N11" s="96">
        <f>SUM(B11:M11)</f>
        <v>53937.319999999985</v>
      </c>
    </row>
    <row r="12" spans="1:14">
      <c r="A12" s="1" t="s">
        <v>218</v>
      </c>
      <c r="B12" s="90">
        <v>464.20000000000005</v>
      </c>
      <c r="C12" s="90">
        <v>1340.46</v>
      </c>
      <c r="D12" s="90">
        <v>1232.57</v>
      </c>
      <c r="E12" s="90">
        <v>1058.21</v>
      </c>
      <c r="F12" s="90">
        <v>1308.28</v>
      </c>
      <c r="G12" s="90">
        <v>929.76</v>
      </c>
      <c r="H12" s="90">
        <v>1635.85</v>
      </c>
      <c r="I12" s="90">
        <v>1257.69</v>
      </c>
      <c r="J12" s="90">
        <v>1594.88</v>
      </c>
      <c r="K12" s="90">
        <v>1327.13</v>
      </c>
      <c r="L12" s="90">
        <v>1261.08</v>
      </c>
      <c r="M12" s="90">
        <v>1157.9000000000001</v>
      </c>
      <c r="N12" s="96">
        <f t="shared" ref="N12:N19" si="0">SUM(B12:M12)</f>
        <v>14568.010000000002</v>
      </c>
    </row>
    <row r="13" spans="1:14">
      <c r="A13" s="1" t="s">
        <v>219</v>
      </c>
      <c r="B13" s="90"/>
      <c r="C13" s="90"/>
      <c r="D13" s="90"/>
      <c r="E13" s="90">
        <v>644.0200000000001</v>
      </c>
      <c r="F13" s="90">
        <v>431.5</v>
      </c>
      <c r="G13" s="90"/>
      <c r="H13" s="90"/>
      <c r="I13" s="90">
        <v>1227.2</v>
      </c>
      <c r="J13" s="90">
        <v>1310.31</v>
      </c>
      <c r="K13" s="90"/>
      <c r="L13" s="90">
        <v>1755.7499999999998</v>
      </c>
      <c r="M13" s="90">
        <v>7.8</v>
      </c>
      <c r="N13" s="96">
        <f t="shared" si="0"/>
        <v>5376.58</v>
      </c>
    </row>
    <row r="14" spans="1:14">
      <c r="A14" s="1" t="s">
        <v>220</v>
      </c>
      <c r="B14" s="90">
        <v>262.69</v>
      </c>
      <c r="C14" s="90"/>
      <c r="D14" s="90"/>
      <c r="E14" s="90">
        <v>1080</v>
      </c>
      <c r="F14" s="90"/>
      <c r="G14" s="90"/>
      <c r="H14" s="90"/>
      <c r="I14" s="90"/>
      <c r="J14" s="90"/>
      <c r="K14" s="90"/>
      <c r="L14" s="90"/>
      <c r="M14" s="90"/>
      <c r="N14" s="96">
        <f t="shared" si="0"/>
        <v>1342.69</v>
      </c>
    </row>
    <row r="15" spans="1:14">
      <c r="A15" s="1" t="s">
        <v>221</v>
      </c>
      <c r="B15" s="90">
        <v>4038.4</v>
      </c>
      <c r="C15" s="90">
        <v>7615.5199999999995</v>
      </c>
      <c r="D15" s="90">
        <v>6710.76</v>
      </c>
      <c r="E15" s="90">
        <v>4852.84</v>
      </c>
      <c r="F15" s="90">
        <v>970.42999999999984</v>
      </c>
      <c r="G15" s="90">
        <v>4510.8600000000006</v>
      </c>
      <c r="H15" s="90">
        <v>3609.19</v>
      </c>
      <c r="I15" s="90">
        <v>4253.17</v>
      </c>
      <c r="J15" s="90">
        <v>9337.619999999999</v>
      </c>
      <c r="K15" s="90">
        <v>8393.93</v>
      </c>
      <c r="L15" s="90">
        <v>15169.35</v>
      </c>
      <c r="M15" s="90">
        <v>5828.8300000000008</v>
      </c>
      <c r="N15" s="96">
        <f t="shared" si="0"/>
        <v>75290.899999999994</v>
      </c>
    </row>
    <row r="16" spans="1:14">
      <c r="A16" s="1" t="s">
        <v>222</v>
      </c>
      <c r="B16" s="90">
        <v>375.14</v>
      </c>
      <c r="C16" s="90">
        <v>1911.2</v>
      </c>
      <c r="D16" s="90">
        <v>1907.13</v>
      </c>
      <c r="E16" s="90">
        <v>1499.87</v>
      </c>
      <c r="F16" s="90">
        <v>975.25</v>
      </c>
      <c r="G16" s="90">
        <v>721.31</v>
      </c>
      <c r="H16" s="90">
        <v>974.08999999999992</v>
      </c>
      <c r="I16" s="90">
        <v>742.03</v>
      </c>
      <c r="J16" s="90">
        <v>1019.21</v>
      </c>
      <c r="K16" s="90">
        <v>2178.56</v>
      </c>
      <c r="L16" s="90">
        <v>562.35</v>
      </c>
      <c r="M16" s="90">
        <v>2885.16</v>
      </c>
      <c r="N16" s="96">
        <f t="shared" si="0"/>
        <v>15751.3</v>
      </c>
    </row>
    <row r="17" spans="1:16">
      <c r="A17" s="1" t="s">
        <v>223</v>
      </c>
      <c r="B17" s="90"/>
      <c r="C17" s="90"/>
      <c r="D17" s="90"/>
      <c r="E17" s="90"/>
      <c r="F17" s="90"/>
      <c r="G17" s="90"/>
      <c r="H17" s="90"/>
      <c r="I17" s="90">
        <v>1283.43</v>
      </c>
      <c r="J17" s="90">
        <v>194.88</v>
      </c>
      <c r="K17" s="90"/>
      <c r="L17" s="90">
        <v>600.00999999999988</v>
      </c>
      <c r="M17" s="90">
        <v>797.1</v>
      </c>
      <c r="N17" s="96">
        <f t="shared" si="0"/>
        <v>2875.4199999999996</v>
      </c>
    </row>
    <row r="18" spans="1:16">
      <c r="A18" s="1" t="s">
        <v>224</v>
      </c>
      <c r="B18" s="90"/>
      <c r="C18" s="90"/>
      <c r="D18" s="90"/>
      <c r="E18" s="90"/>
      <c r="F18" s="90"/>
      <c r="G18" s="90"/>
      <c r="H18" s="90"/>
      <c r="I18" s="90"/>
      <c r="J18" s="90"/>
      <c r="K18" s="90"/>
      <c r="L18" s="90"/>
      <c r="M18" s="90">
        <v>3780</v>
      </c>
      <c r="N18" s="96">
        <f t="shared" si="0"/>
        <v>3780</v>
      </c>
    </row>
    <row r="19" spans="1:16">
      <c r="A19" s="92" t="s">
        <v>225</v>
      </c>
      <c r="B19" s="93">
        <v>5880</v>
      </c>
      <c r="C19" s="93">
        <v>6960</v>
      </c>
      <c r="D19" s="93">
        <v>0</v>
      </c>
      <c r="E19" s="93">
        <v>580</v>
      </c>
      <c r="F19" s="93">
        <v>290</v>
      </c>
      <c r="G19" s="93"/>
      <c r="H19" s="93"/>
      <c r="I19" s="93"/>
      <c r="J19" s="93"/>
      <c r="K19" s="93"/>
      <c r="L19" s="93"/>
      <c r="M19" s="93"/>
      <c r="N19" s="97">
        <f t="shared" si="0"/>
        <v>13710</v>
      </c>
    </row>
    <row r="20" spans="1:16">
      <c r="B20" s="96">
        <f t="shared" ref="B20:M20" si="1">SUM(B11:B19)</f>
        <v>16215.579999999998</v>
      </c>
      <c r="C20" s="96">
        <f t="shared" si="1"/>
        <v>22972.560000000001</v>
      </c>
      <c r="D20" s="96">
        <f t="shared" si="1"/>
        <v>14331.760000000002</v>
      </c>
      <c r="E20" s="96">
        <f t="shared" si="1"/>
        <v>13667.09</v>
      </c>
      <c r="F20" s="96">
        <f t="shared" si="1"/>
        <v>7247.2999999999993</v>
      </c>
      <c r="G20" s="96">
        <f t="shared" si="1"/>
        <v>11239.84</v>
      </c>
      <c r="H20" s="96">
        <f t="shared" si="1"/>
        <v>10715.93</v>
      </c>
      <c r="I20" s="96">
        <f t="shared" si="1"/>
        <v>14516.860000000002</v>
      </c>
      <c r="J20" s="96">
        <f t="shared" si="1"/>
        <v>18177.490000000002</v>
      </c>
      <c r="K20" s="96">
        <f t="shared" si="1"/>
        <v>19458.640000000003</v>
      </c>
      <c r="L20" s="96">
        <f t="shared" si="1"/>
        <v>22298.279999999995</v>
      </c>
      <c r="M20" s="96">
        <f t="shared" si="1"/>
        <v>15790.890000000001</v>
      </c>
      <c r="N20" s="96">
        <f>SUM(N11:N19)</f>
        <v>186632.22</v>
      </c>
    </row>
    <row r="24" spans="1:16" ht="15.75" thickBot="1">
      <c r="A24" s="98" t="s">
        <v>226</v>
      </c>
      <c r="P24" s="1" t="s">
        <v>214</v>
      </c>
    </row>
    <row r="25" spans="1:16" ht="15.75" thickTop="1"/>
    <row r="26" spans="1:16">
      <c r="A26" s="94" t="s">
        <v>216</v>
      </c>
      <c r="B26" s="95" t="s">
        <v>229</v>
      </c>
      <c r="C26" s="95" t="s">
        <v>230</v>
      </c>
      <c r="D26" s="95" t="s">
        <v>231</v>
      </c>
      <c r="E26" s="95" t="s">
        <v>232</v>
      </c>
      <c r="F26" s="95" t="s">
        <v>233</v>
      </c>
      <c r="G26" s="95" t="s">
        <v>234</v>
      </c>
      <c r="H26" s="95" t="s">
        <v>235</v>
      </c>
      <c r="I26" s="95" t="s">
        <v>236</v>
      </c>
      <c r="J26" s="95" t="s">
        <v>237</v>
      </c>
      <c r="K26" s="95" t="s">
        <v>238</v>
      </c>
      <c r="L26" s="95" t="s">
        <v>239</v>
      </c>
      <c r="M26" s="95" t="s">
        <v>240</v>
      </c>
      <c r="N26" s="95" t="s">
        <v>2</v>
      </c>
    </row>
    <row r="27" spans="1:16">
      <c r="A27" s="90" t="s">
        <v>217</v>
      </c>
      <c r="B27" s="90">
        <v>9123.380000000001</v>
      </c>
      <c r="C27" s="90">
        <v>9239.9699999999993</v>
      </c>
      <c r="D27" s="90">
        <v>8498.8000000000011</v>
      </c>
      <c r="E27" s="90">
        <v>7014.869999999999</v>
      </c>
      <c r="F27" s="90">
        <v>8448.7300000000014</v>
      </c>
      <c r="G27" s="90">
        <v>6920.8</v>
      </c>
      <c r="H27" s="90">
        <v>8264.5</v>
      </c>
      <c r="I27" s="90">
        <v>7865.380000000001</v>
      </c>
      <c r="J27" s="90">
        <v>6194.3699999999981</v>
      </c>
      <c r="K27" s="90">
        <v>10515.7</v>
      </c>
      <c r="L27" s="90">
        <v>9178.7199999999993</v>
      </c>
      <c r="M27" s="90">
        <v>7529.84</v>
      </c>
      <c r="N27" s="100">
        <f>SUM(B27:M27)</f>
        <v>98795.06</v>
      </c>
    </row>
    <row r="28" spans="1:16">
      <c r="A28" s="90" t="s">
        <v>218</v>
      </c>
      <c r="B28" s="90">
        <v>943.51</v>
      </c>
      <c r="C28" s="90">
        <v>1953.7600000000002</v>
      </c>
      <c r="D28" s="90">
        <v>2629.95</v>
      </c>
      <c r="E28" s="90">
        <v>2081.1000000000004</v>
      </c>
      <c r="F28" s="90">
        <v>2134.9299999999998</v>
      </c>
      <c r="G28" s="90">
        <v>2213.3200000000002</v>
      </c>
      <c r="H28" s="90">
        <v>2377.5500000000002</v>
      </c>
      <c r="I28" s="90">
        <v>3311.12</v>
      </c>
      <c r="J28" s="90">
        <v>2222.65</v>
      </c>
      <c r="K28" s="90">
        <v>2065.0700000000002</v>
      </c>
      <c r="L28" s="90">
        <v>2771.75</v>
      </c>
      <c r="M28" s="90">
        <v>5079.0200000000004</v>
      </c>
      <c r="N28" s="100">
        <f t="shared" ref="N28:N36" si="2">SUM(B28:M28)</f>
        <v>29783.73</v>
      </c>
    </row>
    <row r="29" spans="1:16">
      <c r="A29" s="90" t="s">
        <v>219</v>
      </c>
      <c r="B29" s="90"/>
      <c r="C29" s="90">
        <v>22.5</v>
      </c>
      <c r="D29" s="90">
        <v>696.32</v>
      </c>
      <c r="E29" s="90">
        <v>350.99</v>
      </c>
      <c r="F29" s="90">
        <v>-91.82</v>
      </c>
      <c r="G29" s="90">
        <v>233.18000000000006</v>
      </c>
      <c r="H29" s="90"/>
      <c r="I29" s="90">
        <v>66.399999999999991</v>
      </c>
      <c r="J29" s="90">
        <v>319.64</v>
      </c>
      <c r="K29" s="90">
        <v>205.27</v>
      </c>
      <c r="L29" s="90">
        <v>271.17</v>
      </c>
      <c r="M29" s="90">
        <v>194.82999999999998</v>
      </c>
      <c r="N29" s="100">
        <f t="shared" si="2"/>
        <v>2268.48</v>
      </c>
    </row>
    <row r="30" spans="1:16">
      <c r="A30" s="90" t="s">
        <v>220</v>
      </c>
      <c r="B30" s="90"/>
      <c r="C30" s="90"/>
      <c r="D30" s="90">
        <v>1781.25</v>
      </c>
      <c r="E30" s="90"/>
      <c r="F30" s="90"/>
      <c r="G30" s="90"/>
      <c r="H30" s="90"/>
      <c r="I30" s="90"/>
      <c r="J30" s="90"/>
      <c r="K30" s="90"/>
      <c r="L30" s="90"/>
      <c r="M30" s="90"/>
      <c r="N30" s="100">
        <f t="shared" si="2"/>
        <v>1781.25</v>
      </c>
    </row>
    <row r="31" spans="1:16">
      <c r="A31" s="90" t="s">
        <v>221</v>
      </c>
      <c r="B31" s="90">
        <v>5352.25</v>
      </c>
      <c r="C31" s="90">
        <v>8656.2200000000012</v>
      </c>
      <c r="D31" s="90">
        <v>6680.29</v>
      </c>
      <c r="E31" s="90">
        <v>4906.7700000000004</v>
      </c>
      <c r="F31" s="90">
        <v>9125.1099999999988</v>
      </c>
      <c r="G31" s="90">
        <v>4081.9700000000003</v>
      </c>
      <c r="H31" s="90">
        <v>8717.82</v>
      </c>
      <c r="I31" s="90">
        <v>10547.85</v>
      </c>
      <c r="J31" s="90">
        <v>10025.049999999999</v>
      </c>
      <c r="K31" s="90">
        <v>11047.34</v>
      </c>
      <c r="L31" s="90">
        <v>7966.2500000000009</v>
      </c>
      <c r="M31" s="90">
        <v>5795.2999999999993</v>
      </c>
      <c r="N31" s="100">
        <f t="shared" si="2"/>
        <v>92902.22</v>
      </c>
    </row>
    <row r="32" spans="1:16">
      <c r="A32" s="90" t="s">
        <v>222</v>
      </c>
      <c r="B32" s="90">
        <v>1286.3800000000001</v>
      </c>
      <c r="C32" s="90">
        <v>1024.4100000000001</v>
      </c>
      <c r="D32" s="90">
        <v>1990.2299999999998</v>
      </c>
      <c r="E32" s="90">
        <v>950.68000000000006</v>
      </c>
      <c r="F32" s="90">
        <v>890.12</v>
      </c>
      <c r="G32" s="90">
        <v>1558.04</v>
      </c>
      <c r="H32" s="90">
        <v>1346.28</v>
      </c>
      <c r="I32" s="90">
        <v>2253.56</v>
      </c>
      <c r="J32" s="90">
        <v>2017.78</v>
      </c>
      <c r="K32" s="90">
        <v>2047.5900000000001</v>
      </c>
      <c r="L32" s="90">
        <v>2271.91</v>
      </c>
      <c r="M32" s="90">
        <v>870.95999999999992</v>
      </c>
      <c r="N32" s="100">
        <f t="shared" si="2"/>
        <v>18507.939999999999</v>
      </c>
    </row>
    <row r="33" spans="1:16">
      <c r="A33" s="90" t="s">
        <v>223</v>
      </c>
      <c r="B33" s="90"/>
      <c r="C33" s="90"/>
      <c r="D33" s="90"/>
      <c r="E33" s="90"/>
      <c r="F33" s="90"/>
      <c r="G33" s="90">
        <v>377.56999999999994</v>
      </c>
      <c r="H33" s="90"/>
      <c r="I33" s="90"/>
      <c r="J33" s="90">
        <v>355.6</v>
      </c>
      <c r="K33" s="90">
        <v>1074.74</v>
      </c>
      <c r="L33" s="90">
        <v>1936.5800000000004</v>
      </c>
      <c r="M33" s="90">
        <v>37.950000000000003</v>
      </c>
      <c r="N33" s="100">
        <f t="shared" si="2"/>
        <v>3782.44</v>
      </c>
    </row>
    <row r="34" spans="1:16">
      <c r="A34" s="90" t="s">
        <v>227</v>
      </c>
      <c r="B34" s="90"/>
      <c r="C34" s="90"/>
      <c r="D34" s="90"/>
      <c r="E34" s="90">
        <v>6000</v>
      </c>
      <c r="F34" s="90"/>
      <c r="G34" s="90"/>
      <c r="H34" s="90"/>
      <c r="I34" s="90"/>
      <c r="J34" s="90"/>
      <c r="K34" s="90"/>
      <c r="L34" s="90">
        <v>6000</v>
      </c>
      <c r="M34" s="90"/>
      <c r="N34" s="100">
        <f t="shared" si="2"/>
        <v>12000</v>
      </c>
    </row>
    <row r="35" spans="1:16">
      <c r="A35" s="90" t="s">
        <v>228</v>
      </c>
      <c r="B35" s="90"/>
      <c r="C35" s="90"/>
      <c r="D35" s="90"/>
      <c r="E35" s="90">
        <v>1916.68</v>
      </c>
      <c r="F35" s="90">
        <v>479.17</v>
      </c>
      <c r="G35" s="90">
        <v>479.17</v>
      </c>
      <c r="H35" s="90">
        <v>479.17</v>
      </c>
      <c r="I35" s="90">
        <v>479.17</v>
      </c>
      <c r="J35" s="90">
        <v>479.17</v>
      </c>
      <c r="K35" s="90">
        <v>479.17</v>
      </c>
      <c r="L35" s="90">
        <v>479.17</v>
      </c>
      <c r="M35" s="90">
        <v>479.13</v>
      </c>
      <c r="N35" s="100">
        <f t="shared" si="2"/>
        <v>5750</v>
      </c>
      <c r="P35" s="1" t="s">
        <v>214</v>
      </c>
    </row>
    <row r="36" spans="1:16">
      <c r="A36" s="90" t="s">
        <v>224</v>
      </c>
      <c r="B36" s="90"/>
      <c r="C36" s="90">
        <v>630</v>
      </c>
      <c r="D36" s="90"/>
      <c r="E36" s="90"/>
      <c r="F36" s="90"/>
      <c r="G36" s="90"/>
      <c r="H36" s="90"/>
      <c r="I36" s="90"/>
      <c r="J36" s="90"/>
      <c r="K36" s="90"/>
      <c r="L36" s="90"/>
      <c r="M36" s="90"/>
      <c r="N36" s="100">
        <f t="shared" si="2"/>
        <v>630</v>
      </c>
    </row>
    <row r="37" spans="1:16">
      <c r="A37" s="93" t="s">
        <v>225</v>
      </c>
      <c r="B37" s="93"/>
      <c r="C37" s="93"/>
      <c r="D37" s="93"/>
      <c r="E37" s="93"/>
      <c r="F37" s="93"/>
      <c r="G37" s="93"/>
      <c r="H37" s="93">
        <v>2100</v>
      </c>
      <c r="I37" s="93">
        <v>6300</v>
      </c>
      <c r="J37" s="93">
        <v>8700</v>
      </c>
      <c r="K37" s="93">
        <v>4200</v>
      </c>
      <c r="L37" s="93">
        <v>600</v>
      </c>
      <c r="M37" s="93"/>
      <c r="N37" s="99">
        <f>SUM(B37:M37)</f>
        <v>21900</v>
      </c>
    </row>
    <row r="38" spans="1:16">
      <c r="B38" s="96">
        <f t="shared" ref="B38:M38" si="3">SUM(B27:B37)</f>
        <v>16705.52</v>
      </c>
      <c r="C38" s="96">
        <f t="shared" si="3"/>
        <v>21526.86</v>
      </c>
      <c r="D38" s="96">
        <f t="shared" si="3"/>
        <v>22276.84</v>
      </c>
      <c r="E38" s="96">
        <f t="shared" si="3"/>
        <v>23221.09</v>
      </c>
      <c r="F38" s="96">
        <f t="shared" si="3"/>
        <v>20986.239999999998</v>
      </c>
      <c r="G38" s="96">
        <f t="shared" si="3"/>
        <v>15864.050000000001</v>
      </c>
      <c r="H38" s="96">
        <f t="shared" si="3"/>
        <v>23285.319999999996</v>
      </c>
      <c r="I38" s="96">
        <f t="shared" si="3"/>
        <v>30823.48</v>
      </c>
      <c r="J38" s="96">
        <f t="shared" si="3"/>
        <v>30314.259999999995</v>
      </c>
      <c r="K38" s="96">
        <f t="shared" si="3"/>
        <v>31634.880000000001</v>
      </c>
      <c r="L38" s="96">
        <f t="shared" si="3"/>
        <v>31475.55</v>
      </c>
      <c r="M38" s="96">
        <f t="shared" si="3"/>
        <v>19987.03</v>
      </c>
      <c r="N38" s="96">
        <f>SUM(N27:N37)</f>
        <v>288101.12</v>
      </c>
    </row>
  </sheetData>
  <phoneticPr fontId="19" type="noConversion"/>
  <pageMargins left="0.7" right="0.7" top="0.75" bottom="0.75" header="0.3" footer="0.3"/>
  <pageSetup scale="54"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3"/>
  <sheetViews>
    <sheetView showGridLines="0" view="pageBreakPreview" zoomScaleNormal="100" zoomScaleSheetLayoutView="100" workbookViewId="0">
      <selection activeCell="C31" sqref="C31"/>
    </sheetView>
  </sheetViews>
  <sheetFormatPr defaultRowHeight="15"/>
  <cols>
    <col min="1" max="1" width="43" style="1" customWidth="1"/>
    <col min="2" max="2" width="11.5703125" style="1" bestFit="1" customWidth="1"/>
    <col min="3" max="3" width="12.28515625" style="1" bestFit="1" customWidth="1"/>
    <col min="4" max="13" width="11.5703125" style="1" bestFit="1" customWidth="1"/>
    <col min="14" max="14" width="12.5703125" style="1" bestFit="1" customWidth="1"/>
    <col min="15" max="16384" width="9.140625" style="1"/>
  </cols>
  <sheetData>
    <row r="1" spans="1:14">
      <c r="A1" s="2" t="s">
        <v>0</v>
      </c>
    </row>
    <row r="2" spans="1:14">
      <c r="A2" s="1" t="s">
        <v>3</v>
      </c>
    </row>
    <row r="3" spans="1:14">
      <c r="A3" s="1" t="s">
        <v>4</v>
      </c>
    </row>
    <row r="4" spans="1:14">
      <c r="A4" s="6" t="s">
        <v>5</v>
      </c>
    </row>
    <row r="5" spans="1:14">
      <c r="A5" s="1" t="s">
        <v>7</v>
      </c>
    </row>
    <row r="8" spans="1:14" ht="15.75" thickBot="1">
      <c r="A8" s="98" t="s">
        <v>241</v>
      </c>
    </row>
    <row r="9" spans="1:14" ht="15.75" thickTop="1"/>
    <row r="10" spans="1:14">
      <c r="A10" s="94" t="s">
        <v>216</v>
      </c>
      <c r="B10" s="95" t="s">
        <v>229</v>
      </c>
      <c r="C10" s="95" t="s">
        <v>230</v>
      </c>
      <c r="D10" s="95" t="s">
        <v>231</v>
      </c>
      <c r="E10" s="95" t="s">
        <v>232</v>
      </c>
      <c r="F10" s="95" t="s">
        <v>233</v>
      </c>
      <c r="G10" s="95" t="s">
        <v>234</v>
      </c>
      <c r="H10" s="95" t="s">
        <v>235</v>
      </c>
      <c r="I10" s="95" t="s">
        <v>236</v>
      </c>
      <c r="J10" s="95" t="s">
        <v>237</v>
      </c>
      <c r="K10" s="95" t="s">
        <v>238</v>
      </c>
      <c r="L10" s="95" t="s">
        <v>239</v>
      </c>
      <c r="M10" s="95" t="s">
        <v>240</v>
      </c>
      <c r="N10" s="95" t="s">
        <v>2</v>
      </c>
    </row>
    <row r="11" spans="1:14">
      <c r="A11" s="1" t="s">
        <v>243</v>
      </c>
      <c r="B11" s="90">
        <v>269.66000000000003</v>
      </c>
      <c r="C11" s="90">
        <v>348.8</v>
      </c>
      <c r="D11" s="90">
        <v>208.75</v>
      </c>
      <c r="E11" s="90"/>
      <c r="F11" s="90"/>
      <c r="G11" s="90">
        <v>217.38</v>
      </c>
      <c r="H11" s="90">
        <v>0</v>
      </c>
      <c r="I11" s="90">
        <v>1239.71</v>
      </c>
      <c r="J11" s="90">
        <v>853</v>
      </c>
      <c r="K11" s="90">
        <v>0</v>
      </c>
      <c r="L11" s="90">
        <v>353.72</v>
      </c>
      <c r="M11" s="90">
        <v>662.03</v>
      </c>
      <c r="N11" s="96">
        <f>SUM(B11:M11)</f>
        <v>4153.05</v>
      </c>
    </row>
    <row r="12" spans="1:14">
      <c r="A12" s="1" t="s">
        <v>244</v>
      </c>
      <c r="B12" s="90">
        <v>1000</v>
      </c>
      <c r="C12" s="90">
        <v>-23988.36</v>
      </c>
      <c r="D12" s="90">
        <v>1000</v>
      </c>
      <c r="E12" s="90">
        <v>3900.57</v>
      </c>
      <c r="F12" s="90">
        <v>-3000</v>
      </c>
      <c r="G12" s="90"/>
      <c r="H12" s="90">
        <v>8578.59</v>
      </c>
      <c r="I12" s="90">
        <v>1000</v>
      </c>
      <c r="J12" s="90">
        <v>1000</v>
      </c>
      <c r="K12" s="90">
        <v>7209.0499999999993</v>
      </c>
      <c r="L12" s="90">
        <v>-1000</v>
      </c>
      <c r="M12" s="90">
        <v>3082.59</v>
      </c>
      <c r="N12" s="96">
        <f t="shared" ref="N12:N13" si="0">SUM(B12:M12)</f>
        <v>-1217.5600000000013</v>
      </c>
    </row>
    <row r="13" spans="1:14">
      <c r="A13" s="92" t="s">
        <v>245</v>
      </c>
      <c r="B13" s="93">
        <v>3500</v>
      </c>
      <c r="C13" s="93"/>
      <c r="D13" s="93"/>
      <c r="E13" s="93"/>
      <c r="F13" s="93"/>
      <c r="G13" s="93"/>
      <c r="H13" s="93"/>
      <c r="I13" s="93"/>
      <c r="J13" s="93"/>
      <c r="K13" s="93"/>
      <c r="L13" s="93"/>
      <c r="M13" s="93"/>
      <c r="N13" s="97">
        <f t="shared" si="0"/>
        <v>3500</v>
      </c>
    </row>
    <row r="14" spans="1:14">
      <c r="B14" s="96">
        <f t="shared" ref="B14:N14" si="1">SUM(B11:B13)</f>
        <v>4769.66</v>
      </c>
      <c r="C14" s="96">
        <f t="shared" si="1"/>
        <v>-23639.56</v>
      </c>
      <c r="D14" s="96">
        <f t="shared" si="1"/>
        <v>1208.75</v>
      </c>
      <c r="E14" s="96">
        <f t="shared" si="1"/>
        <v>3900.57</v>
      </c>
      <c r="F14" s="96">
        <f t="shared" si="1"/>
        <v>-3000</v>
      </c>
      <c r="G14" s="96">
        <f t="shared" si="1"/>
        <v>217.38</v>
      </c>
      <c r="H14" s="96">
        <f t="shared" si="1"/>
        <v>8578.59</v>
      </c>
      <c r="I14" s="96">
        <f t="shared" si="1"/>
        <v>2239.71</v>
      </c>
      <c r="J14" s="96">
        <f t="shared" si="1"/>
        <v>1853</v>
      </c>
      <c r="K14" s="96">
        <f t="shared" si="1"/>
        <v>7209.0499999999993</v>
      </c>
      <c r="L14" s="96">
        <f t="shared" si="1"/>
        <v>-646.28</v>
      </c>
      <c r="M14" s="96">
        <f t="shared" si="1"/>
        <v>3744.62</v>
      </c>
      <c r="N14" s="96">
        <f t="shared" si="1"/>
        <v>6435.4899999999989</v>
      </c>
    </row>
    <row r="18" spans="1:16" ht="15.75" thickBot="1">
      <c r="A18" s="98" t="s">
        <v>242</v>
      </c>
      <c r="P18" s="1" t="s">
        <v>214</v>
      </c>
    </row>
    <row r="19" spans="1:16" ht="15.75" thickTop="1"/>
    <row r="20" spans="1:16">
      <c r="A20" s="94" t="s">
        <v>216</v>
      </c>
      <c r="B20" s="95" t="s">
        <v>229</v>
      </c>
      <c r="C20" s="95" t="s">
        <v>230</v>
      </c>
      <c r="D20" s="95" t="s">
        <v>231</v>
      </c>
      <c r="E20" s="95" t="s">
        <v>232</v>
      </c>
      <c r="F20" s="95" t="s">
        <v>233</v>
      </c>
      <c r="G20" s="95" t="s">
        <v>234</v>
      </c>
      <c r="H20" s="95" t="s">
        <v>235</v>
      </c>
      <c r="I20" s="95" t="s">
        <v>236</v>
      </c>
      <c r="J20" s="95" t="s">
        <v>237</v>
      </c>
      <c r="K20" s="95" t="s">
        <v>238</v>
      </c>
      <c r="L20" s="95" t="s">
        <v>239</v>
      </c>
      <c r="M20" s="95" t="s">
        <v>240</v>
      </c>
      <c r="N20" s="95" t="s">
        <v>2</v>
      </c>
    </row>
    <row r="21" spans="1:16">
      <c r="A21" s="90" t="s">
        <v>243</v>
      </c>
      <c r="B21" s="90">
        <v>0</v>
      </c>
      <c r="C21" s="90">
        <v>462.98</v>
      </c>
      <c r="D21" s="90">
        <v>342.82</v>
      </c>
      <c r="E21" s="90">
        <v>791.78</v>
      </c>
      <c r="F21" s="90">
        <v>346.72</v>
      </c>
      <c r="G21" s="90">
        <v>430.47</v>
      </c>
      <c r="H21" s="90">
        <v>0</v>
      </c>
      <c r="I21" s="90">
        <v>1147.4100000000001</v>
      </c>
      <c r="J21" s="90">
        <v>493.64</v>
      </c>
      <c r="K21" s="90">
        <v>0</v>
      </c>
      <c r="L21" s="90">
        <v>383.66</v>
      </c>
      <c r="M21" s="90">
        <v>924.45</v>
      </c>
      <c r="N21" s="100">
        <f>SUM(B21:M21)</f>
        <v>5323.93</v>
      </c>
    </row>
    <row r="22" spans="1:16">
      <c r="A22" s="93" t="s">
        <v>244</v>
      </c>
      <c r="B22" s="93">
        <v>1000</v>
      </c>
      <c r="C22" s="93">
        <v>1000</v>
      </c>
      <c r="D22" s="93">
        <v>500</v>
      </c>
      <c r="E22" s="93">
        <v>14442.880000000001</v>
      </c>
      <c r="F22" s="93">
        <v>2000</v>
      </c>
      <c r="G22" s="93">
        <v>1000</v>
      </c>
      <c r="H22" s="93">
        <v>292.86999999999989</v>
      </c>
      <c r="I22" s="93">
        <v>0</v>
      </c>
      <c r="J22" s="93"/>
      <c r="K22" s="93">
        <v>3456.51</v>
      </c>
      <c r="L22" s="93">
        <v>500</v>
      </c>
      <c r="M22" s="93">
        <v>0</v>
      </c>
      <c r="N22" s="99">
        <f>SUM(B22:M22)</f>
        <v>24192.260000000002</v>
      </c>
    </row>
    <row r="23" spans="1:16">
      <c r="B23" s="96">
        <f t="shared" ref="B23:N23" si="2">SUM(B21:B22)</f>
        <v>1000</v>
      </c>
      <c r="C23" s="96">
        <f t="shared" si="2"/>
        <v>1462.98</v>
      </c>
      <c r="D23" s="96">
        <f t="shared" si="2"/>
        <v>842.81999999999994</v>
      </c>
      <c r="E23" s="96">
        <f t="shared" si="2"/>
        <v>15234.660000000002</v>
      </c>
      <c r="F23" s="96">
        <f t="shared" si="2"/>
        <v>2346.7200000000003</v>
      </c>
      <c r="G23" s="96">
        <f t="shared" si="2"/>
        <v>1430.47</v>
      </c>
      <c r="H23" s="96">
        <f t="shared" si="2"/>
        <v>292.86999999999989</v>
      </c>
      <c r="I23" s="96">
        <f t="shared" si="2"/>
        <v>1147.4100000000001</v>
      </c>
      <c r="J23" s="96">
        <f t="shared" si="2"/>
        <v>493.64</v>
      </c>
      <c r="K23" s="96">
        <f t="shared" si="2"/>
        <v>3456.51</v>
      </c>
      <c r="L23" s="96">
        <f t="shared" si="2"/>
        <v>883.66000000000008</v>
      </c>
      <c r="M23" s="96">
        <f t="shared" si="2"/>
        <v>924.45</v>
      </c>
      <c r="N23" s="96">
        <f t="shared" si="2"/>
        <v>29516.190000000002</v>
      </c>
    </row>
  </sheetData>
  <pageMargins left="0.7" right="0.7" top="0.75" bottom="0.75" header="0.3" footer="0.3"/>
  <pageSetup scale="6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8"/>
  <sheetViews>
    <sheetView showGridLines="0" view="pageBreakPreview" zoomScaleNormal="100" zoomScaleSheetLayoutView="100" workbookViewId="0">
      <selection activeCell="C32" sqref="C32"/>
    </sheetView>
  </sheetViews>
  <sheetFormatPr defaultRowHeight="15"/>
  <cols>
    <col min="1" max="1" width="50" style="1" customWidth="1"/>
    <col min="2" max="2" width="11.5703125" style="1" bestFit="1" customWidth="1"/>
    <col min="3" max="3" width="12.28515625" style="1" bestFit="1" customWidth="1"/>
    <col min="4" max="13" width="11.5703125" style="1" bestFit="1" customWidth="1"/>
    <col min="14" max="14" width="12.5703125" style="1" bestFit="1" customWidth="1"/>
    <col min="15" max="16384" width="9.140625" style="1"/>
  </cols>
  <sheetData>
    <row r="1" spans="1:16">
      <c r="A1" s="2" t="s">
        <v>0</v>
      </c>
    </row>
    <row r="2" spans="1:16">
      <c r="A2" s="1" t="s">
        <v>3</v>
      </c>
    </row>
    <row r="3" spans="1:16">
      <c r="A3" s="1" t="s">
        <v>4</v>
      </c>
    </row>
    <row r="4" spans="1:16">
      <c r="A4" s="6" t="s">
        <v>5</v>
      </c>
    </row>
    <row r="5" spans="1:16">
      <c r="A5" s="1" t="s">
        <v>6</v>
      </c>
    </row>
    <row r="8" spans="1:16" ht="15.75" thickBot="1">
      <c r="A8" s="98" t="s">
        <v>246</v>
      </c>
    </row>
    <row r="9" spans="1:16" ht="15.75" thickTop="1"/>
    <row r="10" spans="1:16">
      <c r="A10" s="94" t="s">
        <v>216</v>
      </c>
      <c r="B10" s="95" t="s">
        <v>229</v>
      </c>
      <c r="C10" s="95" t="s">
        <v>230</v>
      </c>
      <c r="D10" s="95" t="s">
        <v>231</v>
      </c>
      <c r="E10" s="95" t="s">
        <v>232</v>
      </c>
      <c r="F10" s="95" t="s">
        <v>233</v>
      </c>
      <c r="G10" s="95" t="s">
        <v>234</v>
      </c>
      <c r="H10" s="95" t="s">
        <v>235</v>
      </c>
      <c r="I10" s="95" t="s">
        <v>236</v>
      </c>
      <c r="J10" s="95" t="s">
        <v>237</v>
      </c>
      <c r="K10" s="95" t="s">
        <v>238</v>
      </c>
      <c r="L10" s="95" t="s">
        <v>239</v>
      </c>
      <c r="M10" s="95" t="s">
        <v>240</v>
      </c>
      <c r="N10" s="95" t="s">
        <v>2</v>
      </c>
    </row>
    <row r="11" spans="1:16">
      <c r="A11" s="1" t="s">
        <v>248</v>
      </c>
      <c r="B11" s="91">
        <v>23695.33</v>
      </c>
      <c r="C11" s="91">
        <v>34572.479999999996</v>
      </c>
      <c r="D11" s="91">
        <v>30217.22</v>
      </c>
      <c r="E11" s="91">
        <v>27794.63</v>
      </c>
      <c r="F11" s="91">
        <v>22774.37</v>
      </c>
      <c r="G11" s="91">
        <v>22248.800000000003</v>
      </c>
      <c r="H11" s="91">
        <v>22999.020000000004</v>
      </c>
      <c r="I11" s="91">
        <v>26290.210000000003</v>
      </c>
      <c r="J11" s="91">
        <v>24551.09</v>
      </c>
      <c r="K11" s="91">
        <v>27867.58</v>
      </c>
      <c r="L11" s="91">
        <v>24295.93</v>
      </c>
      <c r="M11" s="91">
        <v>19865.09</v>
      </c>
      <c r="N11" s="96">
        <f t="shared" ref="N11" si="0">SUM(B11:M11)</f>
        <v>307171.75000000006</v>
      </c>
    </row>
    <row r="15" spans="1:16" ht="15.75" thickBot="1">
      <c r="A15" s="98" t="s">
        <v>247</v>
      </c>
      <c r="P15" s="1" t="s">
        <v>214</v>
      </c>
    </row>
    <row r="16" spans="1:16" ht="15.75" thickTop="1"/>
    <row r="17" spans="1:14">
      <c r="A17" s="94" t="s">
        <v>216</v>
      </c>
      <c r="B17" s="95" t="s">
        <v>229</v>
      </c>
      <c r="C17" s="95" t="s">
        <v>230</v>
      </c>
      <c r="D17" s="95" t="s">
        <v>231</v>
      </c>
      <c r="E17" s="95" t="s">
        <v>232</v>
      </c>
      <c r="F17" s="95" t="s">
        <v>233</v>
      </c>
      <c r="G17" s="95" t="s">
        <v>234</v>
      </c>
      <c r="H17" s="95" t="s">
        <v>235</v>
      </c>
      <c r="I17" s="95" t="s">
        <v>236</v>
      </c>
      <c r="J17" s="95" t="s">
        <v>237</v>
      </c>
      <c r="K17" s="95" t="s">
        <v>238</v>
      </c>
      <c r="L17" s="95" t="s">
        <v>239</v>
      </c>
      <c r="M17" s="95" t="s">
        <v>240</v>
      </c>
      <c r="N17" s="95" t="s">
        <v>2</v>
      </c>
    </row>
    <row r="18" spans="1:14">
      <c r="A18" s="91" t="s">
        <v>248</v>
      </c>
      <c r="B18" s="91">
        <v>25466.52</v>
      </c>
      <c r="C18" s="91">
        <v>27488.900000000005</v>
      </c>
      <c r="D18" s="91">
        <v>34392.239999999998</v>
      </c>
      <c r="E18" s="91">
        <v>28479.510000000002</v>
      </c>
      <c r="F18" s="91">
        <v>32336.61</v>
      </c>
      <c r="G18" s="91">
        <v>28363.449999999997</v>
      </c>
      <c r="H18" s="91">
        <v>29467.420000000006</v>
      </c>
      <c r="I18" s="91">
        <v>32329.420000000002</v>
      </c>
      <c r="J18" s="91">
        <v>28564.28</v>
      </c>
      <c r="K18" s="91">
        <v>31627.079999999994</v>
      </c>
      <c r="L18" s="91">
        <v>28572.560000000001</v>
      </c>
      <c r="M18" s="91">
        <v>25063.689999999995</v>
      </c>
      <c r="N18" s="101">
        <f>SUM(B18:M18)</f>
        <v>352151.68000000011</v>
      </c>
    </row>
  </sheetData>
  <pageMargins left="0.7" right="0.7" top="0.75" bottom="0.75" header="0.3" footer="0.3"/>
  <pageSetup scale="5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E44E-3832-4F75-AD5E-A051BA4C7BC9}">
  <dimension ref="A1:AA64"/>
  <sheetViews>
    <sheetView tabSelected="1" view="pageBreakPreview" zoomScale="90" zoomScaleNormal="100" zoomScaleSheetLayoutView="90" workbookViewId="0">
      <selection activeCell="A5" sqref="A5"/>
    </sheetView>
  </sheetViews>
  <sheetFormatPr defaultColWidth="8.7109375" defaultRowHeight="15.75"/>
  <cols>
    <col min="1" max="5" width="8.7109375" style="5"/>
    <col min="6" max="7" width="13.5703125" style="5" customWidth="1"/>
    <col min="8" max="8" width="15.5703125" style="5" customWidth="1"/>
    <col min="9" max="9" width="13.5703125" style="5" customWidth="1"/>
    <col min="10" max="16384" width="8.7109375" style="5"/>
  </cols>
  <sheetData>
    <row r="1" spans="1:27">
      <c r="A1" s="2" t="s">
        <v>0</v>
      </c>
      <c r="B1" s="3"/>
      <c r="C1" s="4"/>
      <c r="D1" s="3"/>
      <c r="E1" s="3"/>
      <c r="F1" s="3"/>
      <c r="G1" s="3"/>
      <c r="H1" s="3"/>
      <c r="I1" s="3"/>
      <c r="J1" s="3"/>
      <c r="K1" s="3"/>
      <c r="L1" s="3"/>
      <c r="M1" s="3"/>
      <c r="N1" s="3"/>
      <c r="O1" s="3"/>
      <c r="P1" s="3"/>
      <c r="Q1" s="3"/>
      <c r="R1" s="3"/>
      <c r="S1" s="3"/>
      <c r="T1" s="3"/>
      <c r="U1" s="3"/>
      <c r="V1" s="3"/>
      <c r="W1" s="3"/>
      <c r="X1" s="3"/>
      <c r="Y1" s="3"/>
      <c r="Z1" s="3"/>
      <c r="AA1" s="3"/>
    </row>
    <row r="2" spans="1:27">
      <c r="A2" s="1" t="s">
        <v>56</v>
      </c>
      <c r="B2" s="3"/>
      <c r="C2" s="4"/>
      <c r="D2" s="3"/>
      <c r="E2" s="3"/>
      <c r="F2" s="3"/>
      <c r="G2" s="3"/>
      <c r="H2" s="3"/>
      <c r="I2" s="3"/>
      <c r="J2" s="3"/>
      <c r="K2" s="3"/>
      <c r="L2" s="3"/>
      <c r="M2" s="3"/>
      <c r="N2" s="3"/>
      <c r="O2" s="3"/>
      <c r="P2" s="3"/>
      <c r="Q2" s="3"/>
      <c r="R2" s="3"/>
      <c r="S2" s="3"/>
      <c r="T2" s="3"/>
      <c r="U2" s="3"/>
      <c r="V2" s="3"/>
      <c r="W2" s="3"/>
      <c r="X2" s="3"/>
      <c r="Y2" s="3"/>
      <c r="Z2" s="3"/>
      <c r="AA2" s="3"/>
    </row>
    <row r="3" spans="1:27">
      <c r="A3" s="1" t="s">
        <v>4</v>
      </c>
      <c r="B3" s="3"/>
      <c r="C3" s="4"/>
      <c r="D3" s="3"/>
      <c r="E3" s="3"/>
      <c r="F3" s="3"/>
      <c r="G3" s="3"/>
      <c r="H3" s="3"/>
      <c r="I3" s="3"/>
      <c r="J3" s="3"/>
      <c r="K3" s="3"/>
      <c r="L3" s="3"/>
      <c r="M3" s="3"/>
      <c r="N3" s="3"/>
      <c r="O3" s="3"/>
      <c r="P3" s="3"/>
      <c r="Q3" s="3"/>
      <c r="R3" s="3"/>
      <c r="S3" s="3"/>
      <c r="T3" s="3"/>
      <c r="U3" s="3"/>
      <c r="V3" s="3"/>
      <c r="W3" s="3"/>
      <c r="X3" s="3"/>
      <c r="Y3" s="3"/>
      <c r="Z3" s="3"/>
      <c r="AA3" s="3"/>
    </row>
    <row r="4" spans="1:27">
      <c r="A4" s="6" t="s">
        <v>5</v>
      </c>
      <c r="B4" s="3"/>
      <c r="C4" s="4"/>
      <c r="D4" s="3"/>
      <c r="E4" s="3"/>
      <c r="F4" s="3"/>
      <c r="G4" s="3"/>
      <c r="H4" s="3"/>
      <c r="I4" s="3"/>
      <c r="J4" s="3"/>
      <c r="K4" s="3"/>
      <c r="L4" s="3"/>
      <c r="M4" s="3"/>
      <c r="N4" s="3"/>
      <c r="O4" s="3"/>
      <c r="P4" s="3"/>
      <c r="Q4" s="3"/>
      <c r="R4" s="3"/>
      <c r="S4" s="3"/>
      <c r="T4" s="3"/>
      <c r="U4" s="3"/>
      <c r="V4" s="3"/>
      <c r="W4" s="3"/>
      <c r="X4" s="3"/>
      <c r="Y4" s="3"/>
      <c r="Z4" s="3"/>
      <c r="AA4" s="3"/>
    </row>
    <row r="5" spans="1:27">
      <c r="A5" s="1" t="s">
        <v>8</v>
      </c>
      <c r="B5" s="3"/>
      <c r="C5" s="4"/>
      <c r="D5" s="3"/>
      <c r="E5" s="3"/>
      <c r="F5" s="3"/>
      <c r="G5" s="3"/>
      <c r="H5" s="3"/>
      <c r="I5" s="3"/>
      <c r="J5" s="3"/>
      <c r="K5" s="3"/>
      <c r="L5" s="3"/>
      <c r="M5" s="3"/>
      <c r="N5" s="3"/>
      <c r="O5" s="3"/>
      <c r="P5" s="3"/>
      <c r="Q5" s="3"/>
      <c r="R5" s="3"/>
      <c r="S5" s="3"/>
      <c r="T5" s="3"/>
      <c r="U5" s="3"/>
      <c r="V5" s="3"/>
      <c r="W5" s="3"/>
      <c r="X5" s="3"/>
      <c r="Y5" s="3"/>
      <c r="Z5" s="3"/>
      <c r="AA5" s="3"/>
    </row>
    <row r="6" spans="1:27">
      <c r="A6" s="7"/>
      <c r="B6" s="3"/>
      <c r="C6" s="4"/>
      <c r="D6" s="3"/>
      <c r="E6" s="3"/>
      <c r="F6" s="3"/>
      <c r="G6" s="3"/>
      <c r="H6" s="3"/>
      <c r="I6" s="3"/>
      <c r="J6" s="3"/>
      <c r="K6" s="3"/>
      <c r="L6" s="3"/>
      <c r="M6" s="3"/>
      <c r="N6" s="3"/>
      <c r="O6" s="3"/>
      <c r="P6" s="3"/>
      <c r="Q6" s="3"/>
      <c r="R6" s="3"/>
      <c r="S6" s="3"/>
      <c r="T6" s="3"/>
      <c r="U6" s="3"/>
      <c r="V6" s="3"/>
      <c r="W6" s="3"/>
      <c r="X6" s="3"/>
      <c r="Y6" s="3"/>
      <c r="Z6" s="3"/>
      <c r="AA6" s="3"/>
    </row>
    <row r="7" spans="1:27">
      <c r="A7" s="5" t="s">
        <v>249</v>
      </c>
    </row>
    <row r="9" spans="1:27">
      <c r="B9" s="8" t="s">
        <v>9</v>
      </c>
    </row>
    <row r="10" spans="1:27">
      <c r="H10" s="9" t="s">
        <v>10</v>
      </c>
    </row>
    <row r="11" spans="1:27">
      <c r="H11" s="9" t="s">
        <v>11</v>
      </c>
    </row>
    <row r="12" spans="1:27">
      <c r="B12" s="5" t="s">
        <v>12</v>
      </c>
      <c r="H12" s="10">
        <v>-12252028.82</v>
      </c>
    </row>
    <row r="13" spans="1:27">
      <c r="B13" s="5" t="s">
        <v>13</v>
      </c>
      <c r="H13" s="10">
        <v>0</v>
      </c>
    </row>
    <row r="14" spans="1:27">
      <c r="B14" s="5" t="s">
        <v>14</v>
      </c>
      <c r="H14" s="11">
        <v>-3435579.4107294073</v>
      </c>
    </row>
    <row r="15" spans="1:27">
      <c r="B15" s="5" t="s">
        <v>15</v>
      </c>
      <c r="H15" s="10">
        <f>+H12-H14-H13</f>
        <v>-8816449.409270592</v>
      </c>
    </row>
    <row r="16" spans="1:27">
      <c r="B16" s="5" t="s">
        <v>16</v>
      </c>
      <c r="H16" s="10">
        <v>-8927953.0254166275</v>
      </c>
    </row>
    <row r="17" spans="1:9" ht="16.5" thickBot="1">
      <c r="B17" s="5" t="s">
        <v>17</v>
      </c>
      <c r="H17" s="12">
        <f>+H15-H16</f>
        <v>111503.61614603549</v>
      </c>
    </row>
    <row r="18" spans="1:9" ht="16.5" thickTop="1">
      <c r="H18" s="10"/>
    </row>
    <row r="19" spans="1:9">
      <c r="B19" s="5" t="s">
        <v>18</v>
      </c>
      <c r="H19" s="10">
        <v>-15029239.286793219</v>
      </c>
    </row>
    <row r="20" spans="1:9">
      <c r="B20" s="5" t="s">
        <v>13</v>
      </c>
      <c r="H20" s="10">
        <v>0</v>
      </c>
    </row>
    <row r="21" spans="1:9">
      <c r="B21" s="5" t="s">
        <v>14</v>
      </c>
      <c r="H21" s="11">
        <v>-3394790.8161685574</v>
      </c>
    </row>
    <row r="22" spans="1:9">
      <c r="B22" s="5" t="s">
        <v>15</v>
      </c>
      <c r="H22" s="10">
        <f>+H19-H21-H20</f>
        <v>-11634448.470624661</v>
      </c>
    </row>
    <row r="23" spans="1:9">
      <c r="B23" s="5" t="s">
        <v>19</v>
      </c>
      <c r="H23" s="10">
        <v>-11885092.968887964</v>
      </c>
    </row>
    <row r="24" spans="1:9">
      <c r="B24" s="5" t="s">
        <v>20</v>
      </c>
      <c r="H24" s="12">
        <f>+H22-H23</f>
        <v>250644.49826330319</v>
      </c>
    </row>
    <row r="25" spans="1:9" ht="16.5" thickTop="1">
      <c r="H25" s="10"/>
    </row>
    <row r="26" spans="1:9">
      <c r="B26" s="5" t="s">
        <v>21</v>
      </c>
      <c r="H26" s="10">
        <v>-10283214.221752243</v>
      </c>
    </row>
    <row r="27" spans="1:9">
      <c r="B27" s="5" t="s">
        <v>22</v>
      </c>
      <c r="H27" s="10">
        <f>+(H17+H24)/2</f>
        <v>181074.05720466934</v>
      </c>
    </row>
    <row r="28" spans="1:9" ht="16.5" thickBot="1">
      <c r="B28" s="5" t="s">
        <v>23</v>
      </c>
      <c r="H28" s="12">
        <f>+H26+H27</f>
        <v>-10102140.164547574</v>
      </c>
      <c r="I28" s="5" t="s">
        <v>24</v>
      </c>
    </row>
    <row r="29" spans="1:9" ht="16.5" thickTop="1"/>
    <row r="30" spans="1:9">
      <c r="A30" s="5" t="s">
        <v>25</v>
      </c>
    </row>
    <row r="31" spans="1:9">
      <c r="B31" s="13" t="s">
        <v>26</v>
      </c>
      <c r="C31" s="14"/>
      <c r="D31" s="14"/>
      <c r="E31" s="14"/>
      <c r="F31" s="14"/>
      <c r="G31" s="14"/>
      <c r="H31" s="14"/>
      <c r="I31" s="14"/>
    </row>
    <row r="32" spans="1:9">
      <c r="B32" s="13" t="s">
        <v>27</v>
      </c>
      <c r="C32" s="14"/>
      <c r="D32" s="14"/>
      <c r="E32" s="14"/>
      <c r="F32" s="14"/>
      <c r="G32" s="15" t="s">
        <v>28</v>
      </c>
      <c r="H32" s="15" t="s">
        <v>29</v>
      </c>
    </row>
    <row r="33" spans="2:10">
      <c r="B33" s="13" t="s">
        <v>30</v>
      </c>
      <c r="C33" s="14"/>
      <c r="D33" s="14"/>
      <c r="E33" s="14"/>
      <c r="F33" s="14"/>
      <c r="G33" s="16">
        <v>0.27983599999999997</v>
      </c>
      <c r="H33" s="16">
        <v>0.27983599999999997</v>
      </c>
    </row>
    <row r="34" spans="2:10">
      <c r="B34" s="13" t="s">
        <v>31</v>
      </c>
      <c r="C34" s="14"/>
      <c r="D34" s="14"/>
      <c r="E34" s="14"/>
      <c r="F34" s="14"/>
      <c r="G34" s="16"/>
      <c r="H34" s="16"/>
    </row>
    <row r="35" spans="2:10">
      <c r="B35" s="17" t="s">
        <v>32</v>
      </c>
      <c r="C35" s="14"/>
      <c r="D35" s="14"/>
      <c r="E35" s="14"/>
      <c r="F35" s="14"/>
      <c r="G35" s="14"/>
      <c r="H35" s="14"/>
    </row>
    <row r="36" spans="2:10">
      <c r="B36" s="14" t="s">
        <v>33</v>
      </c>
      <c r="C36" s="14"/>
      <c r="D36" s="14"/>
      <c r="E36" s="14"/>
      <c r="F36" s="14"/>
      <c r="G36" s="18">
        <v>-39386409.570384428</v>
      </c>
      <c r="H36" s="18">
        <v>-53191100.085918881</v>
      </c>
    </row>
    <row r="37" spans="2:10">
      <c r="B37" s="14" t="s">
        <v>34</v>
      </c>
      <c r="C37" s="14"/>
      <c r="D37" s="14"/>
      <c r="E37" s="14"/>
      <c r="F37" s="14"/>
      <c r="G37" s="18">
        <v>7482176.285829803</v>
      </c>
      <c r="H37" s="18">
        <v>10719463.238308258</v>
      </c>
    </row>
    <row r="38" spans="2:10">
      <c r="B38" s="14" t="s">
        <v>35</v>
      </c>
      <c r="C38" s="14"/>
      <c r="D38" s="14"/>
      <c r="E38" s="14"/>
      <c r="F38" s="14"/>
      <c r="G38" s="19">
        <f>SUM(G36:G37)</f>
        <v>-31904233.284554623</v>
      </c>
      <c r="H38" s="19">
        <f>SUM(H36:H37)</f>
        <v>-42471636.847610623</v>
      </c>
    </row>
    <row r="39" spans="2:10">
      <c r="B39" s="14" t="s">
        <v>36</v>
      </c>
      <c r="C39" s="14"/>
      <c r="D39" s="14"/>
      <c r="E39" s="14"/>
      <c r="F39" s="14"/>
      <c r="G39" s="19">
        <f>G$33*G38</f>
        <v>-8927953.0254166275</v>
      </c>
      <c r="H39" s="19">
        <f>H$33*H38</f>
        <v>-11885092.968887964</v>
      </c>
      <c r="J39" s="5" t="s">
        <v>37</v>
      </c>
    </row>
    <row r="40" spans="2:10">
      <c r="F40" s="14"/>
      <c r="G40" s="18"/>
      <c r="H40" s="18"/>
    </row>
    <row r="41" spans="2:10">
      <c r="B41" s="17" t="s">
        <v>38</v>
      </c>
      <c r="C41" s="14"/>
      <c r="D41" s="14"/>
      <c r="E41" s="14"/>
      <c r="F41" s="14"/>
      <c r="G41" s="18"/>
      <c r="H41" s="18"/>
    </row>
    <row r="42" spans="2:10">
      <c r="B42" s="14" t="s">
        <v>39</v>
      </c>
      <c r="C42" s="14"/>
      <c r="D42" s="14"/>
      <c r="E42" s="14"/>
      <c r="F42" s="14"/>
      <c r="G42" s="18">
        <v>1180644.6058307725</v>
      </c>
      <c r="H42" s="18">
        <v>1616039.9258307724</v>
      </c>
    </row>
    <row r="43" spans="2:10">
      <c r="B43" s="14" t="s">
        <v>40</v>
      </c>
      <c r="C43" s="14"/>
      <c r="D43" s="14"/>
      <c r="E43" s="14"/>
      <c r="F43" s="14"/>
      <c r="G43" s="18">
        <v>-4683155.6500000004</v>
      </c>
      <c r="H43" s="18">
        <v>-4704105.71</v>
      </c>
    </row>
    <row r="44" spans="2:10">
      <c r="B44" s="14" t="s">
        <v>41</v>
      </c>
      <c r="C44" s="14"/>
      <c r="D44" s="14"/>
      <c r="E44" s="14"/>
      <c r="F44" s="14"/>
      <c r="G44" s="18">
        <v>181448.93539340323</v>
      </c>
      <c r="H44" s="18">
        <v>261352.6902400098</v>
      </c>
    </row>
    <row r="45" spans="2:10">
      <c r="B45" s="14" t="s">
        <v>42</v>
      </c>
      <c r="C45" s="14"/>
      <c r="D45" s="14"/>
      <c r="E45" s="14"/>
      <c r="F45" s="14"/>
      <c r="G45" s="18">
        <f>3750913.25051458+63199</f>
        <v>3814112.2505145799</v>
      </c>
      <c r="H45" s="18">
        <f>3794132+63199</f>
        <v>3857331</v>
      </c>
    </row>
    <row r="46" spans="2:10">
      <c r="B46" s="14" t="s">
        <v>43</v>
      </c>
      <c r="C46" s="14"/>
      <c r="D46" s="14"/>
      <c r="E46" s="14"/>
      <c r="F46" s="14"/>
      <c r="G46" s="18">
        <v>-144496.50486940279</v>
      </c>
      <c r="H46" s="18">
        <v>-209784</v>
      </c>
    </row>
    <row r="47" spans="2:10">
      <c r="B47" s="14" t="s">
        <v>44</v>
      </c>
      <c r="C47" s="14"/>
      <c r="D47" s="14"/>
      <c r="E47" s="14"/>
      <c r="F47" s="14"/>
      <c r="G47" s="18">
        <v>49910.258049827098</v>
      </c>
      <c r="H47" s="18">
        <v>74852</v>
      </c>
    </row>
    <row r="49" spans="1:10">
      <c r="B49" s="14" t="s">
        <v>35</v>
      </c>
      <c r="C49" s="14"/>
      <c r="D49" s="14"/>
      <c r="E49" s="14"/>
      <c r="F49" s="14"/>
      <c r="G49" s="19">
        <f>SUM(G42:G48)</f>
        <v>398463.89491917996</v>
      </c>
      <c r="H49" s="19">
        <f>SUM(H42:H48)</f>
        <v>895685.90607078187</v>
      </c>
    </row>
    <row r="50" spans="1:10">
      <c r="B50" s="14" t="s">
        <v>36</v>
      </c>
      <c r="C50" s="14"/>
      <c r="D50" s="14"/>
      <c r="E50" s="14"/>
      <c r="F50" s="14"/>
      <c r="G50" s="19">
        <f>G$33*G49</f>
        <v>111504.54249860364</v>
      </c>
      <c r="H50" s="19">
        <f>H$33*H49</f>
        <v>250645.16121122328</v>
      </c>
    </row>
    <row r="51" spans="1:10">
      <c r="A51" s="14"/>
      <c r="B51" s="14"/>
      <c r="C51" s="14"/>
      <c r="D51" s="14"/>
      <c r="E51" s="14"/>
      <c r="F51" s="14"/>
    </row>
    <row r="52" spans="1:10">
      <c r="B52" s="17" t="s">
        <v>45</v>
      </c>
      <c r="C52" s="14"/>
      <c r="D52" s="14"/>
      <c r="E52" s="14"/>
      <c r="F52" s="14"/>
      <c r="G52" s="18"/>
      <c r="H52" s="18"/>
    </row>
    <row r="53" spans="1:10">
      <c r="B53" s="14" t="s">
        <v>46</v>
      </c>
      <c r="C53" s="14"/>
      <c r="D53" s="14"/>
      <c r="E53" s="14"/>
      <c r="F53" s="14"/>
      <c r="G53" s="18">
        <v>-12771484.440000001</v>
      </c>
      <c r="H53" s="18">
        <v>-12843459.010000002</v>
      </c>
    </row>
    <row r="54" spans="1:10">
      <c r="B54" s="14" t="s">
        <v>47</v>
      </c>
      <c r="C54" s="14"/>
      <c r="D54" s="14"/>
      <c r="E54" s="14"/>
      <c r="F54" s="14"/>
      <c r="G54" s="18">
        <v>494367.09009002696</v>
      </c>
      <c r="H54" s="18">
        <v>712100.58517775754</v>
      </c>
    </row>
    <row r="55" spans="1:10">
      <c r="B55" s="14" t="s">
        <v>35</v>
      </c>
      <c r="C55" s="14"/>
      <c r="D55" s="14"/>
      <c r="E55" s="14"/>
      <c r="F55" s="14"/>
      <c r="G55" s="19">
        <f>SUM(G53:G54)</f>
        <v>-12277117.349909974</v>
      </c>
      <c r="H55" s="19">
        <f>SUM(H53:H54)</f>
        <v>-12131358.424822245</v>
      </c>
    </row>
    <row r="56" spans="1:10">
      <c r="B56" s="14" t="s">
        <v>36</v>
      </c>
      <c r="C56" s="14"/>
      <c r="D56" s="14"/>
      <c r="E56" s="14"/>
      <c r="F56" s="14"/>
      <c r="G56" s="19">
        <f>G$33*G55</f>
        <v>-3435579.4107294073</v>
      </c>
      <c r="H56" s="19">
        <f>H$33*H55</f>
        <v>-3394790.8161685574</v>
      </c>
      <c r="J56" s="5" t="s">
        <v>48</v>
      </c>
    </row>
    <row r="57" spans="1:10">
      <c r="F57" s="14"/>
      <c r="G57" s="14"/>
      <c r="H57" s="14"/>
    </row>
    <row r="58" spans="1:10" ht="16.5" thickBot="1">
      <c r="B58" s="14" t="s">
        <v>49</v>
      </c>
      <c r="C58" s="14"/>
      <c r="D58" s="14"/>
      <c r="E58" s="14"/>
      <c r="F58" s="14"/>
      <c r="G58" s="20">
        <f>G38+G49+G55</f>
        <v>-43782886.73954542</v>
      </c>
      <c r="H58" s="20">
        <f>H38+H49+H55</f>
        <v>-53707309.36636208</v>
      </c>
    </row>
    <row r="59" spans="1:10" ht="17.25" thickTop="1" thickBot="1">
      <c r="B59" s="14" t="s">
        <v>50</v>
      </c>
      <c r="C59" s="14"/>
      <c r="D59" s="14"/>
      <c r="E59" s="14"/>
      <c r="F59" s="14"/>
      <c r="G59" s="20">
        <f>G39+G50+G56</f>
        <v>-12252027.893647432</v>
      </c>
      <c r="H59" s="20">
        <f>H39+H50+H56</f>
        <v>-15029238.6238453</v>
      </c>
      <c r="J59" s="5" t="s">
        <v>51</v>
      </c>
    </row>
    <row r="60" spans="1:10" ht="16.5" thickTop="1">
      <c r="B60" s="14"/>
      <c r="C60" s="14"/>
      <c r="D60" s="14"/>
      <c r="E60" s="14"/>
      <c r="F60" s="14"/>
      <c r="G60" s="21"/>
      <c r="H60" s="21"/>
    </row>
    <row r="61" spans="1:10">
      <c r="B61" s="14" t="s">
        <v>52</v>
      </c>
      <c r="C61" s="14" t="s">
        <v>53</v>
      </c>
      <c r="D61" s="14"/>
      <c r="E61" s="14"/>
      <c r="F61" s="14"/>
      <c r="G61" s="21">
        <v>-8381621</v>
      </c>
      <c r="H61" s="21">
        <v>-10281512.889999995</v>
      </c>
    </row>
    <row r="62" spans="1:10">
      <c r="B62" s="14" t="s">
        <v>54</v>
      </c>
      <c r="C62" s="14" t="s">
        <v>55</v>
      </c>
      <c r="D62" s="14"/>
      <c r="E62" s="14"/>
      <c r="F62" s="14"/>
      <c r="G62" s="21">
        <v>-3870407</v>
      </c>
      <c r="H62" s="21">
        <v>-4747726.3599999994</v>
      </c>
    </row>
    <row r="63" spans="1:10" ht="16.5" thickBot="1">
      <c r="B63" s="14"/>
      <c r="C63" s="14"/>
      <c r="D63" s="14"/>
      <c r="E63" s="14"/>
      <c r="F63" s="14"/>
      <c r="G63" s="22">
        <f>SUM(G61:G62)</f>
        <v>-12252028</v>
      </c>
      <c r="H63" s="22">
        <f>SUM(H61:H62)</f>
        <v>-15029239.249999994</v>
      </c>
    </row>
    <row r="64" spans="1:10" ht="16.5" thickTop="1">
      <c r="F64" s="14"/>
    </row>
  </sheetData>
  <pageMargins left="0.7" right="0.7" top="0.75" bottom="0.75" header="0.3" footer="0.3"/>
  <pageSetup scale="53" orientation="portrait" horizontalDpi="1200" verticalDpi="1200" r:id="rId1"/>
  <colBreaks count="1" manualBreakCount="1">
    <brk id="17" max="6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5CD4-9CC9-45A1-B056-952566F49FC8}">
  <dimension ref="A1:AB90"/>
  <sheetViews>
    <sheetView view="pageBreakPreview" zoomScale="60" zoomScaleNormal="100" workbookViewId="0"/>
  </sheetViews>
  <sheetFormatPr defaultColWidth="8.7109375" defaultRowHeight="15.75"/>
  <cols>
    <col min="1" max="5" width="8.7109375" style="5"/>
    <col min="6" max="6" width="16.5703125" style="5" bestFit="1" customWidth="1"/>
    <col min="7" max="18" width="13.5703125" style="5" customWidth="1"/>
    <col min="19" max="19" width="17" style="5" bestFit="1" customWidth="1"/>
    <col min="20" max="20" width="13.5703125" style="5" customWidth="1"/>
    <col min="21" max="21" width="15" style="5" bestFit="1" customWidth="1"/>
    <col min="22" max="16384" width="8.7109375" style="5"/>
  </cols>
  <sheetData>
    <row r="1" spans="1:28">
      <c r="A1" s="2" t="s">
        <v>0</v>
      </c>
      <c r="B1" s="3"/>
      <c r="C1" s="4"/>
      <c r="D1" s="4"/>
      <c r="E1" s="3"/>
      <c r="F1" s="3"/>
      <c r="G1" s="3"/>
      <c r="H1" s="3"/>
      <c r="I1" s="3"/>
      <c r="J1" s="3"/>
      <c r="K1" s="3"/>
      <c r="L1" s="3"/>
      <c r="M1" s="3"/>
      <c r="N1" s="3"/>
      <c r="O1" s="3"/>
      <c r="P1" s="3"/>
      <c r="Q1" s="3"/>
      <c r="R1" s="3"/>
      <c r="S1" s="3"/>
      <c r="T1" s="3"/>
      <c r="U1" s="3"/>
      <c r="V1" s="3"/>
      <c r="W1" s="3"/>
      <c r="X1" s="3"/>
      <c r="Y1" s="3"/>
      <c r="Z1" s="3"/>
      <c r="AA1" s="3"/>
      <c r="AB1" s="3"/>
    </row>
    <row r="2" spans="1:28">
      <c r="A2" s="1" t="s">
        <v>56</v>
      </c>
      <c r="B2" s="3"/>
      <c r="C2" s="4"/>
      <c r="D2" s="4"/>
      <c r="E2" s="3"/>
      <c r="F2" s="3"/>
      <c r="G2" s="3"/>
      <c r="H2" s="3"/>
      <c r="I2" s="3"/>
      <c r="J2" s="3"/>
      <c r="K2" s="3"/>
      <c r="L2" s="3"/>
      <c r="M2" s="3"/>
      <c r="N2" s="3"/>
      <c r="O2" s="3"/>
      <c r="P2" s="3"/>
      <c r="Q2" s="3"/>
      <c r="R2" s="3"/>
      <c r="S2" s="3"/>
      <c r="T2" s="3"/>
      <c r="U2" s="3"/>
      <c r="V2" s="3"/>
      <c r="W2" s="3"/>
      <c r="X2" s="3"/>
      <c r="Y2" s="3"/>
      <c r="Z2" s="3"/>
      <c r="AA2" s="3"/>
      <c r="AB2" s="3"/>
    </row>
    <row r="3" spans="1:28">
      <c r="A3" s="1" t="s">
        <v>4</v>
      </c>
      <c r="B3" s="3"/>
      <c r="C3" s="4"/>
      <c r="D3" s="4"/>
      <c r="E3" s="3"/>
      <c r="F3" s="3"/>
      <c r="G3" s="3"/>
      <c r="H3" s="3"/>
      <c r="I3" s="3"/>
      <c r="J3" s="3"/>
      <c r="K3" s="3"/>
      <c r="L3" s="3"/>
      <c r="M3" s="3"/>
      <c r="N3" s="3"/>
      <c r="O3" s="3"/>
      <c r="P3" s="3"/>
      <c r="Q3" s="3"/>
      <c r="R3" s="3"/>
      <c r="S3" s="3"/>
      <c r="T3" s="3"/>
      <c r="U3" s="3"/>
      <c r="V3" s="3"/>
      <c r="W3" s="3"/>
      <c r="X3" s="3"/>
      <c r="Y3" s="3"/>
      <c r="Z3" s="3"/>
      <c r="AA3" s="3"/>
      <c r="AB3" s="3"/>
    </row>
    <row r="4" spans="1:28">
      <c r="A4" s="6" t="s">
        <v>5</v>
      </c>
      <c r="B4" s="3"/>
      <c r="C4" s="4"/>
      <c r="D4" s="4"/>
      <c r="E4" s="3"/>
      <c r="F4" s="3"/>
      <c r="G4" s="3"/>
      <c r="H4" s="3"/>
      <c r="I4" s="3"/>
      <c r="J4" s="3"/>
      <c r="K4" s="3"/>
      <c r="L4" s="3"/>
      <c r="M4" s="3"/>
      <c r="N4" s="3"/>
      <c r="O4" s="3"/>
      <c r="P4" s="3"/>
      <c r="Q4" s="3"/>
      <c r="R4" s="3"/>
      <c r="S4" s="3"/>
      <c r="T4" s="3"/>
      <c r="U4" s="3"/>
      <c r="V4" s="3"/>
      <c r="W4" s="3"/>
      <c r="X4" s="3"/>
      <c r="Y4" s="3"/>
      <c r="Z4" s="3"/>
      <c r="AA4" s="3"/>
      <c r="AB4" s="3"/>
    </row>
    <row r="5" spans="1:28">
      <c r="A5" s="1" t="s">
        <v>57</v>
      </c>
      <c r="B5" s="3"/>
      <c r="C5" s="4"/>
      <c r="D5" s="4"/>
      <c r="E5" s="3"/>
      <c r="F5" s="3"/>
      <c r="G5" s="3"/>
      <c r="H5" s="3"/>
      <c r="I5" s="3"/>
      <c r="J5" s="3"/>
      <c r="K5" s="3"/>
      <c r="L5" s="3"/>
      <c r="M5" s="3"/>
      <c r="N5" s="3"/>
      <c r="O5" s="3"/>
      <c r="P5" s="3"/>
      <c r="Q5" s="3"/>
      <c r="R5" s="3"/>
      <c r="S5" s="3"/>
      <c r="T5" s="3"/>
      <c r="U5" s="3"/>
      <c r="V5" s="3"/>
      <c r="W5" s="3"/>
      <c r="X5" s="3"/>
      <c r="Y5" s="3"/>
      <c r="Z5" s="3"/>
      <c r="AA5" s="3"/>
      <c r="AB5" s="3"/>
    </row>
    <row r="6" spans="1:28">
      <c r="A6" s="7"/>
      <c r="B6" s="3"/>
      <c r="C6" s="4"/>
      <c r="D6" s="4"/>
      <c r="E6" s="3"/>
      <c r="F6" s="3"/>
      <c r="G6" s="3"/>
      <c r="H6" s="3"/>
      <c r="I6" s="3"/>
      <c r="J6" s="3"/>
      <c r="K6" s="3"/>
      <c r="L6" s="3"/>
      <c r="M6" s="3"/>
      <c r="N6" s="3"/>
      <c r="O6" s="3"/>
      <c r="P6" s="3"/>
      <c r="Q6" s="3"/>
      <c r="R6" s="3"/>
      <c r="S6" s="3"/>
      <c r="T6" s="3"/>
      <c r="U6" s="3"/>
      <c r="V6" s="3"/>
      <c r="W6" s="3"/>
      <c r="X6" s="3"/>
      <c r="Y6" s="3"/>
      <c r="Z6" s="3"/>
      <c r="AA6" s="3"/>
      <c r="AB6" s="3"/>
    </row>
    <row r="7" spans="1:28" ht="15.6" customHeight="1">
      <c r="A7" s="102" t="s">
        <v>250</v>
      </c>
      <c r="B7" s="102"/>
      <c r="C7" s="102"/>
      <c r="D7" s="102"/>
      <c r="E7" s="102"/>
      <c r="F7" s="102"/>
      <c r="G7" s="102"/>
      <c r="H7" s="102"/>
      <c r="I7" s="102"/>
      <c r="J7" s="102"/>
      <c r="K7" s="102"/>
      <c r="L7" s="102"/>
      <c r="M7" s="102"/>
    </row>
    <row r="8" spans="1:28">
      <c r="A8" s="102"/>
      <c r="B8" s="102"/>
      <c r="C8" s="102"/>
      <c r="D8" s="102"/>
      <c r="E8" s="102"/>
      <c r="F8" s="102"/>
      <c r="G8" s="102"/>
      <c r="H8" s="102"/>
      <c r="I8" s="102"/>
      <c r="J8" s="102"/>
      <c r="K8" s="102"/>
      <c r="L8" s="102"/>
      <c r="M8" s="102"/>
    </row>
    <row r="10" spans="1:28">
      <c r="B10" s="8" t="s">
        <v>9</v>
      </c>
    </row>
    <row r="11" spans="1:28">
      <c r="H11" s="9" t="s">
        <v>10</v>
      </c>
    </row>
    <row r="12" spans="1:28">
      <c r="H12" s="9" t="s">
        <v>11</v>
      </c>
    </row>
    <row r="13" spans="1:28">
      <c r="B13" s="5" t="s">
        <v>12</v>
      </c>
      <c r="H13" s="10">
        <v>-12252028.82</v>
      </c>
    </row>
    <row r="14" spans="1:28">
      <c r="B14" s="5" t="s">
        <v>13</v>
      </c>
      <c r="H14" s="10">
        <v>0</v>
      </c>
    </row>
    <row r="15" spans="1:28">
      <c r="B15" s="5" t="s">
        <v>14</v>
      </c>
      <c r="H15" s="11">
        <v>-3435579.4107294073</v>
      </c>
    </row>
    <row r="16" spans="1:28">
      <c r="B16" s="5" t="s">
        <v>15</v>
      </c>
      <c r="H16" s="10">
        <f>+H13-H15-H14</f>
        <v>-8816449.409270592</v>
      </c>
    </row>
    <row r="17" spans="1:10">
      <c r="B17" s="5" t="s">
        <v>16</v>
      </c>
      <c r="H17" s="10">
        <v>-8927953.0254166275</v>
      </c>
      <c r="J17" s="5" t="s">
        <v>58</v>
      </c>
    </row>
    <row r="18" spans="1:10" ht="16.5" thickBot="1">
      <c r="B18" s="5" t="s">
        <v>17</v>
      </c>
      <c r="H18" s="12">
        <f>+H16-H17</f>
        <v>111503.61614603549</v>
      </c>
    </row>
    <row r="19" spans="1:10" ht="16.5" thickTop="1">
      <c r="H19" s="10"/>
    </row>
    <row r="20" spans="1:10">
      <c r="B20" s="5" t="s">
        <v>18</v>
      </c>
      <c r="H20" s="10">
        <v>-15029239.286793219</v>
      </c>
    </row>
    <row r="21" spans="1:10">
      <c r="B21" s="5" t="s">
        <v>13</v>
      </c>
      <c r="H21" s="10">
        <v>0</v>
      </c>
    </row>
    <row r="22" spans="1:10">
      <c r="B22" s="5" t="s">
        <v>14</v>
      </c>
      <c r="H22" s="11">
        <v>-3394790.8161685574</v>
      </c>
    </row>
    <row r="23" spans="1:10">
      <c r="B23" s="5" t="s">
        <v>15</v>
      </c>
      <c r="H23" s="10">
        <f>+H20-H22-H21</f>
        <v>-11634448.470624661</v>
      </c>
    </row>
    <row r="24" spans="1:10">
      <c r="B24" s="5" t="s">
        <v>19</v>
      </c>
      <c r="H24" s="10">
        <v>-11885092.968887964</v>
      </c>
      <c r="J24" s="5" t="s">
        <v>59</v>
      </c>
    </row>
    <row r="25" spans="1:10" ht="16.5" thickBot="1">
      <c r="B25" s="5" t="s">
        <v>20</v>
      </c>
      <c r="H25" s="12">
        <f>+H23-H24</f>
        <v>250644.49826330319</v>
      </c>
    </row>
    <row r="26" spans="1:10" ht="16.5" thickTop="1">
      <c r="H26" s="10"/>
    </row>
    <row r="27" spans="1:10">
      <c r="B27" s="5" t="s">
        <v>21</v>
      </c>
      <c r="H27" s="10">
        <v>-10283214.221752243</v>
      </c>
      <c r="J27" s="5" t="s">
        <v>60</v>
      </c>
    </row>
    <row r="28" spans="1:10">
      <c r="B28" s="5" t="s">
        <v>22</v>
      </c>
      <c r="H28" s="10">
        <f>+(H18+H25)/2</f>
        <v>181074.05720466934</v>
      </c>
    </row>
    <row r="29" spans="1:10" ht="16.5" thickBot="1">
      <c r="B29" s="5" t="s">
        <v>23</v>
      </c>
      <c r="H29" s="12">
        <f>+H27+H28</f>
        <v>-10102140.164547574</v>
      </c>
      <c r="I29" s="5" t="s">
        <v>24</v>
      </c>
    </row>
    <row r="30" spans="1:10" ht="16.5" thickTop="1"/>
    <row r="31" spans="1:10">
      <c r="A31" s="5" t="s">
        <v>25</v>
      </c>
    </row>
    <row r="32" spans="1:10">
      <c r="B32" s="23" t="s">
        <v>26</v>
      </c>
      <c r="C32" s="24"/>
      <c r="D32" s="24"/>
      <c r="E32" s="24"/>
      <c r="F32" s="24"/>
      <c r="G32" s="24"/>
      <c r="H32" s="24"/>
      <c r="I32" s="24"/>
      <c r="J32" s="24"/>
    </row>
    <row r="33" spans="2:18">
      <c r="B33" s="23" t="s">
        <v>27</v>
      </c>
      <c r="C33" s="24"/>
      <c r="D33" s="24"/>
      <c r="E33" s="24"/>
      <c r="F33" s="24"/>
      <c r="G33" s="24"/>
      <c r="H33" s="25" t="s">
        <v>28</v>
      </c>
      <c r="I33" s="25" t="s">
        <v>29</v>
      </c>
    </row>
    <row r="34" spans="2:18">
      <c r="B34" s="23" t="s">
        <v>30</v>
      </c>
      <c r="C34" s="24"/>
      <c r="D34" s="24"/>
      <c r="E34" s="24"/>
      <c r="F34" s="24"/>
      <c r="G34" s="24"/>
      <c r="H34" s="26">
        <v>0.27983599999999997</v>
      </c>
      <c r="I34" s="26">
        <v>0.27983599999999997</v>
      </c>
    </row>
    <row r="35" spans="2:18">
      <c r="B35" s="23" t="s">
        <v>31</v>
      </c>
      <c r="C35" s="24"/>
      <c r="D35" s="24"/>
      <c r="E35" s="24"/>
      <c r="F35" s="24"/>
      <c r="G35" s="24"/>
      <c r="H35" s="26"/>
      <c r="I35" s="26"/>
    </row>
    <row r="36" spans="2:18">
      <c r="B36" s="27" t="s">
        <v>32</v>
      </c>
      <c r="C36" s="24"/>
      <c r="D36" s="24"/>
      <c r="E36" s="24"/>
      <c r="F36" s="24"/>
      <c r="G36" s="24"/>
      <c r="H36" s="24"/>
      <c r="I36" s="24"/>
    </row>
    <row r="37" spans="2:18">
      <c r="B37" s="24" t="s">
        <v>33</v>
      </c>
      <c r="C37" s="24"/>
      <c r="D37" s="24"/>
      <c r="E37" s="24"/>
      <c r="F37" s="24"/>
      <c r="G37" s="24"/>
      <c r="H37" s="28">
        <v>-39386409.570384428</v>
      </c>
      <c r="I37" s="28">
        <v>-53191100.085918881</v>
      </c>
    </row>
    <row r="38" spans="2:18">
      <c r="B38" s="24" t="s">
        <v>34</v>
      </c>
      <c r="C38" s="24"/>
      <c r="D38" s="24"/>
      <c r="E38" s="24"/>
      <c r="F38" s="24"/>
      <c r="G38" s="24"/>
      <c r="H38" s="28">
        <v>7482176.285829803</v>
      </c>
      <c r="I38" s="28">
        <v>10719463.238308258</v>
      </c>
    </row>
    <row r="39" spans="2:18">
      <c r="B39" s="24" t="s">
        <v>35</v>
      </c>
      <c r="C39" s="24"/>
      <c r="D39" s="24"/>
      <c r="E39" s="24"/>
      <c r="F39" s="24"/>
      <c r="G39" s="24"/>
      <c r="H39" s="29">
        <f>SUM(H37:H38)</f>
        <v>-31904233.284554623</v>
      </c>
      <c r="I39" s="29">
        <f>SUM(I37:I38)</f>
        <v>-42471636.847610623</v>
      </c>
      <c r="K39" s="10">
        <f>I39 - H39</f>
        <v>-10567403.563056</v>
      </c>
      <c r="L39" s="5" t="s">
        <v>61</v>
      </c>
    </row>
    <row r="40" spans="2:18">
      <c r="B40" s="24" t="s">
        <v>36</v>
      </c>
      <c r="C40" s="24"/>
      <c r="D40" s="24"/>
      <c r="E40" s="24"/>
      <c r="F40" s="24"/>
      <c r="G40" s="24"/>
      <c r="H40" s="29">
        <f>H$34*H39</f>
        <v>-8927953.0254166275</v>
      </c>
      <c r="I40" s="29">
        <f>I$34*I39</f>
        <v>-11885092.968887964</v>
      </c>
      <c r="K40" s="5" t="s">
        <v>62</v>
      </c>
    </row>
    <row r="41" spans="2:18">
      <c r="G41" s="24"/>
      <c r="H41" s="28"/>
      <c r="I41" s="28"/>
      <c r="K41" s="5" t="s">
        <v>63</v>
      </c>
      <c r="R41" s="10">
        <f xml:space="preserve"> I40 - H40</f>
        <v>-2957139.9434713367</v>
      </c>
    </row>
    <row r="42" spans="2:18">
      <c r="B42" s="27" t="s">
        <v>38</v>
      </c>
      <c r="C42" s="24"/>
      <c r="D42" s="24"/>
      <c r="E42" s="24"/>
      <c r="F42" s="24"/>
      <c r="G42" s="24"/>
      <c r="H42" s="28"/>
      <c r="I42" s="28"/>
      <c r="K42" s="5" t="s">
        <v>64</v>
      </c>
    </row>
    <row r="43" spans="2:18">
      <c r="B43" s="24" t="s">
        <v>39</v>
      </c>
      <c r="C43" s="24"/>
      <c r="D43" s="24"/>
      <c r="E43" s="24"/>
      <c r="F43" s="24"/>
      <c r="G43" s="24"/>
      <c r="H43" s="28">
        <v>1180644.6058307725</v>
      </c>
      <c r="I43" s="28">
        <v>1616039.9258307724</v>
      </c>
    </row>
    <row r="44" spans="2:18">
      <c r="B44" s="24" t="s">
        <v>40</v>
      </c>
      <c r="C44" s="24"/>
      <c r="D44" s="24"/>
      <c r="E44" s="24"/>
      <c r="F44" s="24"/>
      <c r="G44" s="24"/>
      <c r="H44" s="28">
        <v>-4683155.6500000004</v>
      </c>
      <c r="I44" s="28">
        <v>-4704105.71</v>
      </c>
    </row>
    <row r="45" spans="2:18">
      <c r="B45" s="24" t="s">
        <v>41</v>
      </c>
      <c r="C45" s="24"/>
      <c r="D45" s="24"/>
      <c r="E45" s="24"/>
      <c r="F45" s="24"/>
      <c r="G45" s="24"/>
      <c r="H45" s="28">
        <v>181448.93539340323</v>
      </c>
      <c r="I45" s="28">
        <v>261352.6902400098</v>
      </c>
    </row>
    <row r="46" spans="2:18">
      <c r="B46" s="24" t="s">
        <v>42</v>
      </c>
      <c r="C46" s="24"/>
      <c r="D46" s="24"/>
      <c r="E46" s="24"/>
      <c r="F46" s="24"/>
      <c r="G46" s="24"/>
      <c r="H46" s="18">
        <f>3750913.25051458+63199</f>
        <v>3814112.2505145799</v>
      </c>
      <c r="I46" s="18">
        <f>3794132+63199</f>
        <v>3857331</v>
      </c>
    </row>
    <row r="47" spans="2:18">
      <c r="B47" s="24" t="s">
        <v>43</v>
      </c>
      <c r="C47" s="24"/>
      <c r="D47" s="24"/>
      <c r="E47" s="24"/>
      <c r="F47" s="24"/>
      <c r="G47" s="24"/>
      <c r="H47" s="28">
        <v>-144496.50486940279</v>
      </c>
      <c r="I47" s="28">
        <v>-209784</v>
      </c>
    </row>
    <row r="48" spans="2:18">
      <c r="B48" s="24" t="s">
        <v>44</v>
      </c>
      <c r="C48" s="24"/>
      <c r="D48" s="24"/>
      <c r="E48" s="24"/>
      <c r="F48" s="24"/>
      <c r="G48" s="24"/>
      <c r="H48" s="28">
        <v>49910.258049827098</v>
      </c>
      <c r="I48" s="28">
        <v>74852</v>
      </c>
    </row>
    <row r="49" spans="1:9">
      <c r="B49" s="24"/>
      <c r="C49" s="24"/>
      <c r="D49" s="24"/>
      <c r="E49" s="24"/>
      <c r="F49" s="24"/>
      <c r="G49" s="24"/>
      <c r="H49" s="28"/>
      <c r="I49" s="28"/>
    </row>
    <row r="50" spans="1:9">
      <c r="B50" s="24" t="s">
        <v>35</v>
      </c>
      <c r="C50" s="24"/>
      <c r="D50" s="24"/>
      <c r="E50" s="24"/>
      <c r="F50" s="24"/>
      <c r="G50" s="24"/>
      <c r="H50" s="29">
        <f>SUM(H43:H49)</f>
        <v>398463.89491917996</v>
      </c>
      <c r="I50" s="29">
        <f>SUM(I43:I49)</f>
        <v>895685.90607078187</v>
      </c>
    </row>
    <row r="51" spans="1:9">
      <c r="B51" s="24" t="s">
        <v>36</v>
      </c>
      <c r="C51" s="24"/>
      <c r="D51" s="24"/>
      <c r="E51" s="24"/>
      <c r="F51" s="24"/>
      <c r="G51" s="24"/>
      <c r="H51" s="29">
        <f>H$34*H50</f>
        <v>111504.54249860364</v>
      </c>
      <c r="I51" s="29">
        <f>I$34*I50</f>
        <v>250645.16121122328</v>
      </c>
    </row>
    <row r="52" spans="1:9">
      <c r="A52" s="24"/>
      <c r="B52" s="24"/>
      <c r="C52" s="24"/>
      <c r="D52" s="24"/>
      <c r="E52" s="24"/>
      <c r="F52" s="24"/>
      <c r="G52" s="24"/>
    </row>
    <row r="53" spans="1:9">
      <c r="B53" s="27" t="s">
        <v>45</v>
      </c>
      <c r="C53" s="24"/>
      <c r="D53" s="24"/>
      <c r="E53" s="24"/>
      <c r="F53" s="24"/>
      <c r="G53" s="24"/>
      <c r="H53" s="28"/>
      <c r="I53" s="28"/>
    </row>
    <row r="54" spans="1:9">
      <c r="B54" s="24" t="s">
        <v>46</v>
      </c>
      <c r="C54" s="24"/>
      <c r="D54" s="24"/>
      <c r="E54" s="24"/>
      <c r="F54" s="24"/>
      <c r="G54" s="24"/>
      <c r="H54" s="28">
        <v>-12771484.440000001</v>
      </c>
      <c r="I54" s="28">
        <v>-12843459.010000002</v>
      </c>
    </row>
    <row r="55" spans="1:9">
      <c r="B55" s="24" t="s">
        <v>47</v>
      </c>
      <c r="C55" s="24"/>
      <c r="D55" s="24"/>
      <c r="E55" s="24"/>
      <c r="F55" s="24"/>
      <c r="G55" s="24"/>
      <c r="H55" s="28">
        <v>494367.09009002696</v>
      </c>
      <c r="I55" s="28">
        <v>712100.58517775754</v>
      </c>
    </row>
    <row r="56" spans="1:9">
      <c r="B56" s="24" t="s">
        <v>35</v>
      </c>
      <c r="C56" s="24"/>
      <c r="D56" s="24"/>
      <c r="E56" s="24"/>
      <c r="F56" s="24"/>
      <c r="G56" s="24"/>
      <c r="H56" s="29">
        <f>SUM(H54:H55)</f>
        <v>-12277117.349909974</v>
      </c>
      <c r="I56" s="29">
        <f>SUM(I54:I55)</f>
        <v>-12131358.424822245</v>
      </c>
    </row>
    <row r="57" spans="1:9">
      <c r="B57" s="24" t="s">
        <v>36</v>
      </c>
      <c r="C57" s="24"/>
      <c r="D57" s="24"/>
      <c r="E57" s="24"/>
      <c r="F57" s="24"/>
      <c r="G57" s="24"/>
      <c r="H57" s="29">
        <f>H$34*H56</f>
        <v>-3435579.4107294073</v>
      </c>
      <c r="I57" s="29">
        <f>I$34*I56</f>
        <v>-3394790.8161685574</v>
      </c>
    </row>
    <row r="58" spans="1:9">
      <c r="G58" s="24"/>
      <c r="H58" s="24"/>
      <c r="I58" s="24"/>
    </row>
    <row r="59" spans="1:9" ht="16.5" thickBot="1">
      <c r="B59" s="24" t="s">
        <v>49</v>
      </c>
      <c r="C59" s="24"/>
      <c r="D59" s="24"/>
      <c r="E59" s="24"/>
      <c r="F59" s="24"/>
      <c r="G59" s="24"/>
      <c r="H59" s="30">
        <f>H39+H50+H56</f>
        <v>-43782886.73954542</v>
      </c>
      <c r="I59" s="30">
        <f>I39+I50+I56</f>
        <v>-53707309.36636208</v>
      </c>
    </row>
    <row r="60" spans="1:9" ht="17.25" thickTop="1" thickBot="1">
      <c r="B60" s="24" t="s">
        <v>50</v>
      </c>
      <c r="C60" s="24"/>
      <c r="D60" s="24"/>
      <c r="E60" s="24"/>
      <c r="F60" s="24"/>
      <c r="G60" s="24"/>
      <c r="H60" s="30">
        <f>H40+H51+H57</f>
        <v>-12252027.893647432</v>
      </c>
      <c r="I60" s="30">
        <f>I40+I51+I57</f>
        <v>-15029238.6238453</v>
      </c>
    </row>
    <row r="61" spans="1:9" ht="16.5" thickTop="1">
      <c r="B61" s="24"/>
      <c r="C61" s="24"/>
      <c r="D61" s="24"/>
      <c r="E61" s="24"/>
      <c r="F61" s="24"/>
      <c r="G61" s="24"/>
      <c r="H61" s="31"/>
      <c r="I61" s="31"/>
    </row>
    <row r="62" spans="1:9">
      <c r="B62" s="24" t="s">
        <v>52</v>
      </c>
      <c r="C62" s="24" t="s">
        <v>53</v>
      </c>
      <c r="D62" s="24"/>
      <c r="E62" s="24"/>
      <c r="F62" s="24"/>
      <c r="G62" s="24"/>
      <c r="H62" s="31">
        <v>-8381621</v>
      </c>
      <c r="I62" s="31">
        <v>-10281512.889999995</v>
      </c>
    </row>
    <row r="63" spans="1:9">
      <c r="B63" s="24" t="s">
        <v>54</v>
      </c>
      <c r="C63" s="24" t="s">
        <v>55</v>
      </c>
      <c r="D63" s="24"/>
      <c r="E63" s="24"/>
      <c r="F63" s="24"/>
      <c r="G63" s="24"/>
      <c r="H63" s="31">
        <v>-3870407</v>
      </c>
      <c r="I63" s="31">
        <v>-4747726.3599999994</v>
      </c>
    </row>
    <row r="64" spans="1:9" ht="16.5" thickBot="1">
      <c r="B64" s="24"/>
      <c r="C64" s="24"/>
      <c r="D64" s="24"/>
      <c r="E64" s="24"/>
      <c r="F64" s="24"/>
      <c r="G64" s="24"/>
      <c r="H64" s="32">
        <f>SUM(H62:H63)</f>
        <v>-12252028</v>
      </c>
      <c r="I64" s="32">
        <f>SUM(I62:I63)</f>
        <v>-15029239.249999994</v>
      </c>
    </row>
    <row r="65" spans="1:22" ht="16.5" thickTop="1">
      <c r="G65" s="24"/>
    </row>
    <row r="67" spans="1:22" s="33" customFormat="1">
      <c r="F67" s="34" t="s">
        <v>65</v>
      </c>
      <c r="G67" s="35">
        <v>202201</v>
      </c>
      <c r="H67" s="35">
        <v>202202</v>
      </c>
      <c r="I67" s="35">
        <v>202203</v>
      </c>
      <c r="J67" s="35">
        <v>202204</v>
      </c>
      <c r="K67" s="35">
        <v>202205</v>
      </c>
      <c r="L67" s="35">
        <v>202206</v>
      </c>
      <c r="M67" s="35">
        <v>202207</v>
      </c>
      <c r="N67" s="35">
        <v>202208</v>
      </c>
      <c r="O67" s="35">
        <v>202209</v>
      </c>
      <c r="P67" s="35">
        <v>202210</v>
      </c>
      <c r="Q67" s="35">
        <v>202211</v>
      </c>
      <c r="R67" s="35">
        <v>202212</v>
      </c>
      <c r="S67" s="34" t="s">
        <v>66</v>
      </c>
    </row>
    <row r="68" spans="1:22" s="33" customFormat="1">
      <c r="F68" s="33" t="s">
        <v>67</v>
      </c>
      <c r="G68" s="33" t="s">
        <v>68</v>
      </c>
      <c r="H68" s="33" t="s">
        <v>69</v>
      </c>
      <c r="I68" s="33" t="s">
        <v>70</v>
      </c>
      <c r="J68" s="33" t="s">
        <v>71</v>
      </c>
      <c r="K68" s="33" t="s">
        <v>72</v>
      </c>
      <c r="L68" s="33" t="s">
        <v>73</v>
      </c>
      <c r="M68" s="33" t="s">
        <v>74</v>
      </c>
      <c r="N68" s="33" t="s">
        <v>75</v>
      </c>
      <c r="O68" s="33" t="s">
        <v>76</v>
      </c>
      <c r="P68" s="33" t="s">
        <v>77</v>
      </c>
      <c r="Q68" s="33" t="s">
        <v>78</v>
      </c>
      <c r="R68" s="33" t="s">
        <v>79</v>
      </c>
      <c r="S68" s="33" t="s">
        <v>67</v>
      </c>
      <c r="U68" s="33">
        <v>2023</v>
      </c>
    </row>
    <row r="69" spans="1:22" s="33" customFormat="1" ht="16.5" thickBot="1">
      <c r="F69" s="36">
        <v>44926</v>
      </c>
      <c r="G69" s="36"/>
      <c r="H69" s="36"/>
      <c r="I69" s="36"/>
      <c r="J69" s="36"/>
      <c r="K69" s="36"/>
      <c r="L69" s="36"/>
      <c r="M69" s="36"/>
      <c r="N69" s="36"/>
      <c r="O69" s="36"/>
      <c r="P69" s="36"/>
      <c r="Q69" s="36"/>
      <c r="R69" s="36"/>
      <c r="S69" s="36">
        <v>45291</v>
      </c>
      <c r="U69" s="37" t="s">
        <v>80</v>
      </c>
    </row>
    <row r="70" spans="1:22" s="39" customFormat="1">
      <c r="A70" s="38" t="s">
        <v>52</v>
      </c>
      <c r="B70" s="38" t="s">
        <v>53</v>
      </c>
      <c r="F70" s="40">
        <v>-8381621.3300000001</v>
      </c>
      <c r="G70" s="40">
        <v>-176531.86</v>
      </c>
      <c r="H70" s="40">
        <v>-176531.86</v>
      </c>
      <c r="I70" s="40">
        <v>-122229.84999999998</v>
      </c>
      <c r="J70" s="40">
        <v>-176531.86</v>
      </c>
      <c r="K70" s="40">
        <v>-140330.53999999998</v>
      </c>
      <c r="L70" s="40">
        <v>-157759.1</v>
      </c>
      <c r="M70" s="40">
        <v>-158431.20000000001</v>
      </c>
      <c r="N70" s="40">
        <v>-158431.20000000001</v>
      </c>
      <c r="O70" s="40">
        <v>-157172.89000000001</v>
      </c>
      <c r="P70" s="40">
        <v>-158431.20000000001</v>
      </c>
      <c r="Q70" s="40">
        <v>-158431.20000000001</v>
      </c>
      <c r="R70" s="40">
        <v>-159078.80000000002</v>
      </c>
      <c r="S70" s="40">
        <v>-10281512.889999995</v>
      </c>
      <c r="U70" s="41">
        <f>S70-F70</f>
        <v>-1899891.5599999949</v>
      </c>
    </row>
    <row r="71" spans="1:22" s="39" customFormat="1">
      <c r="A71" s="38" t="s">
        <v>54</v>
      </c>
      <c r="B71" s="38" t="s">
        <v>55</v>
      </c>
      <c r="F71" s="40">
        <v>-3870407.4900000012</v>
      </c>
      <c r="G71" s="40">
        <v>-81517.66</v>
      </c>
      <c r="H71" s="40">
        <v>-81517.66</v>
      </c>
      <c r="I71" s="40">
        <v>-56442.490000000005</v>
      </c>
      <c r="J71" s="40">
        <v>-81517.66</v>
      </c>
      <c r="K71" s="40">
        <v>-64800.880000000005</v>
      </c>
      <c r="L71" s="40">
        <v>-72848.91</v>
      </c>
      <c r="M71" s="40">
        <v>-73159.27</v>
      </c>
      <c r="N71" s="40">
        <v>-73159.27</v>
      </c>
      <c r="O71" s="40">
        <v>-72578.22</v>
      </c>
      <c r="P71" s="40">
        <v>-73159.27</v>
      </c>
      <c r="Q71" s="40">
        <v>-73159.27</v>
      </c>
      <c r="R71" s="40">
        <v>-73458.31</v>
      </c>
      <c r="S71" s="40">
        <v>-4747726.3599999994</v>
      </c>
      <c r="U71" s="41">
        <f>S71-F71</f>
        <v>-877318.86999999825</v>
      </c>
    </row>
    <row r="72" spans="1:22" s="42" customFormat="1" ht="16.5" thickBot="1">
      <c r="F72" s="43">
        <f>SUM(F70:F71)</f>
        <v>-12252028.82</v>
      </c>
      <c r="G72" s="44"/>
      <c r="H72" s="44"/>
      <c r="I72" s="44"/>
      <c r="J72" s="44"/>
      <c r="K72" s="44"/>
      <c r="L72" s="44"/>
      <c r="M72" s="44"/>
      <c r="N72" s="44"/>
      <c r="O72" s="44"/>
      <c r="P72" s="44"/>
      <c r="Q72" s="44"/>
      <c r="R72" s="44"/>
      <c r="S72" s="43">
        <f>SUM(S70:S71)</f>
        <v>-15029239.249999994</v>
      </c>
      <c r="U72" s="43">
        <f>SUM(U70:U71)</f>
        <v>-2777210.4299999932</v>
      </c>
    </row>
    <row r="73" spans="1:22" s="42" customFormat="1" ht="17.25" thickTop="1" thickBot="1">
      <c r="U73" s="43">
        <f>S72-F72</f>
        <v>-2777210.4299999941</v>
      </c>
    </row>
    <row r="74" spans="1:22" s="42" customFormat="1" ht="16.5" thickTop="1">
      <c r="A74" s="42" t="s">
        <v>81</v>
      </c>
      <c r="G74" s="45">
        <f t="shared" ref="G74:R74" si="0" xml:space="preserve"> G70 / $U$70</f>
        <v>9.2916808367736761E-2</v>
      </c>
      <c r="H74" s="45">
        <f t="shared" si="0"/>
        <v>9.2916808367736761E-2</v>
      </c>
      <c r="I74" s="45">
        <f t="shared" si="0"/>
        <v>6.4335171845281688E-2</v>
      </c>
      <c r="J74" s="45">
        <f t="shared" si="0"/>
        <v>9.2916808367736761E-2</v>
      </c>
      <c r="K74" s="45">
        <f t="shared" si="0"/>
        <v>7.3862394546349977E-2</v>
      </c>
      <c r="L74" s="45">
        <f t="shared" si="0"/>
        <v>8.3035844424720964E-2</v>
      </c>
      <c r="M74" s="45">
        <f t="shared" si="0"/>
        <v>8.3389601457043383E-2</v>
      </c>
      <c r="N74" s="45">
        <f t="shared" si="0"/>
        <v>8.3389601457043383E-2</v>
      </c>
      <c r="O74" s="45">
        <f t="shared" si="0"/>
        <v>8.2727295235734633E-2</v>
      </c>
      <c r="P74" s="45">
        <f t="shared" si="0"/>
        <v>8.3389601457043383E-2</v>
      </c>
      <c r="Q74" s="45">
        <f t="shared" si="0"/>
        <v>8.3389601457043383E-2</v>
      </c>
      <c r="R74" s="45">
        <f t="shared" si="0"/>
        <v>8.3730463016531559E-2</v>
      </c>
      <c r="T74" s="46">
        <f>SUM(G74:S74)</f>
        <v>1.0000000000000027</v>
      </c>
      <c r="U74" s="44"/>
    </row>
    <row r="75" spans="1:22" s="42" customFormat="1">
      <c r="A75" s="42" t="s">
        <v>81</v>
      </c>
      <c r="G75" s="45">
        <f t="shared" ref="G75:R75" si="1" xml:space="preserve"> G71 / $U$71</f>
        <v>9.2916797743105836E-2</v>
      </c>
      <c r="H75" s="45">
        <f t="shared" si="1"/>
        <v>9.2916797743105836E-2</v>
      </c>
      <c r="I75" s="45">
        <f t="shared" si="1"/>
        <v>6.4335205738821191E-2</v>
      </c>
      <c r="J75" s="45">
        <f t="shared" si="1"/>
        <v>9.2916797743105836E-2</v>
      </c>
      <c r="K75" s="45">
        <f t="shared" si="1"/>
        <v>7.3862403073582744E-2</v>
      </c>
      <c r="L75" s="45">
        <f t="shared" si="1"/>
        <v>8.3035840777025749E-2</v>
      </c>
      <c r="M75" s="45">
        <f t="shared" si="1"/>
        <v>8.3389600408344283E-2</v>
      </c>
      <c r="N75" s="45">
        <f t="shared" si="1"/>
        <v>8.3389600408344283E-2</v>
      </c>
      <c r="O75" s="45">
        <f t="shared" si="1"/>
        <v>8.2727298456489545E-2</v>
      </c>
      <c r="P75" s="45">
        <f t="shared" si="1"/>
        <v>8.3389600408344283E-2</v>
      </c>
      <c r="Q75" s="45">
        <f t="shared" si="1"/>
        <v>8.3389600408344283E-2</v>
      </c>
      <c r="R75" s="45">
        <f t="shared" si="1"/>
        <v>8.3730457091388155E-2</v>
      </c>
      <c r="T75" s="46">
        <f>SUM(G75:S75)</f>
        <v>1.0000000000000022</v>
      </c>
      <c r="U75" s="44"/>
    </row>
    <row r="76" spans="1:22" s="42" customFormat="1">
      <c r="H76" s="47"/>
      <c r="I76" s="47"/>
      <c r="J76" s="47"/>
      <c r="K76" s="47"/>
      <c r="L76" s="47"/>
      <c r="M76" s="47"/>
      <c r="N76" s="47"/>
      <c r="O76" s="47"/>
      <c r="P76" s="47"/>
      <c r="Q76" s="47"/>
      <c r="R76" s="47"/>
      <c r="S76" s="47"/>
    </row>
    <row r="77" spans="1:22" s="42" customFormat="1">
      <c r="A77" s="42" t="s">
        <v>82</v>
      </c>
      <c r="F77" s="47">
        <v>13804691</v>
      </c>
      <c r="G77" s="47"/>
      <c r="H77" s="47"/>
      <c r="I77" s="47"/>
      <c r="J77" s="47"/>
      <c r="K77" s="47"/>
      <c r="L77" s="47"/>
      <c r="M77" s="47"/>
      <c r="N77" s="47"/>
      <c r="O77" s="47"/>
      <c r="P77" s="47"/>
      <c r="Q77" s="47"/>
      <c r="R77" s="47"/>
      <c r="S77" s="47"/>
      <c r="T77" s="47"/>
      <c r="U77" s="47"/>
      <c r="V77" s="47"/>
    </row>
    <row r="78" spans="1:22" s="42" customFormat="1">
      <c r="A78" s="42" t="s">
        <v>83</v>
      </c>
      <c r="F78" s="47">
        <v>3237287</v>
      </c>
      <c r="G78" s="47"/>
      <c r="H78" s="47"/>
      <c r="I78" s="47"/>
      <c r="J78" s="47"/>
      <c r="K78" s="47"/>
      <c r="L78" s="47"/>
      <c r="M78" s="47"/>
      <c r="N78" s="47"/>
      <c r="O78" s="47"/>
      <c r="P78" s="47"/>
      <c r="Q78" s="47"/>
      <c r="R78" s="47"/>
      <c r="S78" s="47"/>
      <c r="T78" s="47"/>
      <c r="U78" s="47"/>
      <c r="V78" s="47"/>
    </row>
    <row r="79" spans="1:22" s="42" customFormat="1" ht="16.5" thickBot="1">
      <c r="A79" s="48" t="s">
        <v>84</v>
      </c>
      <c r="F79" s="49">
        <f>F77-F78</f>
        <v>10567404</v>
      </c>
      <c r="G79" s="47" t="s">
        <v>85</v>
      </c>
      <c r="H79" s="47"/>
      <c r="I79" s="47"/>
      <c r="J79" s="47"/>
      <c r="K79" s="47"/>
      <c r="L79" s="47"/>
      <c r="M79" s="47"/>
      <c r="N79" s="47"/>
      <c r="O79" s="47"/>
      <c r="P79" s="47"/>
      <c r="Q79" s="47"/>
      <c r="R79" s="47"/>
      <c r="S79" s="47"/>
      <c r="T79" s="47"/>
      <c r="U79" s="47"/>
      <c r="V79" s="47"/>
    </row>
    <row r="80" spans="1:22" s="42" customFormat="1" ht="16.5" thickTop="1">
      <c r="F80" s="47"/>
      <c r="G80" s="47"/>
      <c r="H80" s="47"/>
      <c r="I80" s="47"/>
      <c r="J80" s="47"/>
      <c r="K80" s="47"/>
      <c r="L80" s="47"/>
      <c r="M80" s="47"/>
      <c r="N80" s="47"/>
      <c r="O80" s="47"/>
      <c r="P80" s="47"/>
      <c r="Q80" s="47"/>
      <c r="R80" s="47"/>
      <c r="S80" s="47"/>
      <c r="T80" s="47"/>
      <c r="U80" s="47"/>
      <c r="V80" s="47"/>
    </row>
    <row r="81" spans="1:22" s="42" customFormat="1">
      <c r="A81" s="42" t="s">
        <v>86</v>
      </c>
      <c r="F81" s="50">
        <f xml:space="preserve"> 21% - ( 21% * F84 )</f>
        <v>0.191436</v>
      </c>
      <c r="H81" s="47"/>
      <c r="I81" s="47"/>
      <c r="J81" s="47"/>
      <c r="K81" s="47"/>
      <c r="L81" s="47"/>
      <c r="M81" s="47"/>
      <c r="N81" s="47"/>
      <c r="O81" s="47"/>
      <c r="P81" s="47"/>
      <c r="Q81" s="47"/>
      <c r="R81" s="47"/>
      <c r="S81" s="47"/>
      <c r="T81" s="47"/>
      <c r="U81" s="47"/>
      <c r="V81" s="47"/>
    </row>
    <row r="82" spans="1:22" s="42" customFormat="1">
      <c r="A82" s="42" t="s">
        <v>87</v>
      </c>
      <c r="F82" s="47">
        <f xml:space="preserve"> F79 * F81</f>
        <v>2022981.5521439998</v>
      </c>
      <c r="G82" s="47">
        <f t="shared" ref="G82:R82" si="2" xml:space="preserve"> $F$82 * G74</f>
        <v>187968.98921203072</v>
      </c>
      <c r="H82" s="47">
        <f t="shared" si="2"/>
        <v>187968.98921203072</v>
      </c>
      <c r="I82" s="47">
        <f t="shared" si="2"/>
        <v>130148.86579701891</v>
      </c>
      <c r="J82" s="47">
        <f t="shared" si="2"/>
        <v>187968.98921203072</v>
      </c>
      <c r="K82" s="47">
        <f t="shared" si="2"/>
        <v>149422.26156444757</v>
      </c>
      <c r="L82" s="47">
        <f t="shared" si="2"/>
        <v>167979.98143790971</v>
      </c>
      <c r="M82" s="47">
        <f t="shared" si="2"/>
        <v>168695.62538823916</v>
      </c>
      <c r="N82" s="47">
        <f t="shared" si="2"/>
        <v>168695.62538823916</v>
      </c>
      <c r="O82" s="47">
        <f t="shared" si="2"/>
        <v>167355.79212066138</v>
      </c>
      <c r="P82" s="47">
        <f t="shared" si="2"/>
        <v>168695.62538823916</v>
      </c>
      <c r="Q82" s="47">
        <f t="shared" si="2"/>
        <v>168695.62538823916</v>
      </c>
      <c r="R82" s="47">
        <f t="shared" si="2"/>
        <v>169385.18203491878</v>
      </c>
      <c r="S82" s="47">
        <f>SUM(G82:R82)</f>
        <v>2022981.5521440052</v>
      </c>
      <c r="T82" s="47"/>
      <c r="U82" s="47"/>
      <c r="V82" s="47"/>
    </row>
    <row r="83" spans="1:22" s="42" customFormat="1">
      <c r="A83" s="51"/>
      <c r="G83" s="47"/>
      <c r="H83" s="47"/>
      <c r="I83" s="47"/>
      <c r="J83" s="47"/>
      <c r="K83" s="47"/>
      <c r="L83" s="47"/>
      <c r="M83" s="47"/>
      <c r="N83" s="47"/>
      <c r="O83" s="47"/>
      <c r="P83" s="47"/>
      <c r="Q83" s="47"/>
      <c r="R83" s="47"/>
      <c r="S83" s="47"/>
      <c r="T83" s="47"/>
      <c r="U83" s="47"/>
      <c r="V83" s="47"/>
    </row>
    <row r="84" spans="1:22" s="42" customFormat="1">
      <c r="A84" s="42" t="s">
        <v>88</v>
      </c>
      <c r="F84" s="50">
        <v>8.8400000000000006E-2</v>
      </c>
      <c r="G84" s="47"/>
      <c r="H84" s="47"/>
      <c r="I84" s="47"/>
      <c r="J84" s="47"/>
      <c r="K84" s="47"/>
      <c r="L84" s="47"/>
      <c r="M84" s="47"/>
      <c r="N84" s="47"/>
      <c r="O84" s="47"/>
      <c r="P84" s="47"/>
      <c r="Q84" s="47"/>
      <c r="R84" s="47"/>
      <c r="S84" s="47"/>
      <c r="T84" s="47"/>
      <c r="U84" s="47"/>
      <c r="V84" s="47"/>
    </row>
    <row r="85" spans="1:22" s="42" customFormat="1">
      <c r="A85" s="42" t="s">
        <v>87</v>
      </c>
      <c r="F85" s="47">
        <f xml:space="preserve"> F79 * F84</f>
        <v>934158.51360000006</v>
      </c>
      <c r="G85" s="47">
        <f t="shared" ref="G85:R85" si="3" xml:space="preserve"> $F$85 * G75</f>
        <v>86799.017668171582</v>
      </c>
      <c r="H85" s="47">
        <f t="shared" si="3"/>
        <v>86799.017668171582</v>
      </c>
      <c r="I85" s="47">
        <f t="shared" si="3"/>
        <v>60099.280165127399</v>
      </c>
      <c r="J85" s="47">
        <f t="shared" si="3"/>
        <v>86799.017668171582</v>
      </c>
      <c r="K85" s="47">
        <f t="shared" si="3"/>
        <v>68999.192666142131</v>
      </c>
      <c r="L85" s="47">
        <f t="shared" si="3"/>
        <v>77568.63759579265</v>
      </c>
      <c r="M85" s="47">
        <f t="shared" si="3"/>
        <v>77899.105167156857</v>
      </c>
      <c r="N85" s="47">
        <f t="shared" si="3"/>
        <v>77899.105167156857</v>
      </c>
      <c r="O85" s="47">
        <f t="shared" si="3"/>
        <v>77280.410160257859</v>
      </c>
      <c r="P85" s="47">
        <f t="shared" si="3"/>
        <v>77899.105167156857</v>
      </c>
      <c r="Q85" s="47">
        <f t="shared" si="3"/>
        <v>77899.105167156857</v>
      </c>
      <c r="R85" s="47">
        <f t="shared" si="3"/>
        <v>78217.519339539751</v>
      </c>
      <c r="S85" s="47">
        <f>SUM(G85:R85)</f>
        <v>934158.51360000204</v>
      </c>
      <c r="T85" s="47"/>
      <c r="U85" s="47"/>
      <c r="V85" s="47"/>
    </row>
    <row r="86" spans="1:22" s="42" customFormat="1">
      <c r="A86" s="52"/>
      <c r="H86" s="47"/>
      <c r="I86" s="47"/>
      <c r="J86" s="47"/>
      <c r="K86" s="47"/>
      <c r="L86" s="47"/>
      <c r="M86" s="47"/>
      <c r="N86" s="47"/>
      <c r="O86" s="47"/>
      <c r="P86" s="47"/>
      <c r="Q86" s="47"/>
      <c r="R86" s="47"/>
      <c r="S86" s="47"/>
      <c r="T86" s="47"/>
      <c r="U86" s="47"/>
      <c r="V86" s="47"/>
    </row>
    <row r="87" spans="1:22" s="42" customFormat="1">
      <c r="A87" s="42" t="s">
        <v>89</v>
      </c>
      <c r="F87" s="50">
        <f>F81+F84</f>
        <v>0.27983599999999997</v>
      </c>
      <c r="H87" s="47"/>
      <c r="I87" s="47"/>
      <c r="J87" s="47"/>
      <c r="K87" s="47"/>
      <c r="L87" s="47"/>
      <c r="M87" s="47"/>
      <c r="N87" s="47"/>
      <c r="O87" s="47"/>
      <c r="P87" s="47"/>
      <c r="Q87" s="47"/>
      <c r="R87" s="47"/>
      <c r="S87" s="47"/>
      <c r="T87" s="47"/>
      <c r="U87" s="47"/>
      <c r="V87" s="47"/>
    </row>
    <row r="88" spans="1:22" s="42" customFormat="1" ht="16.5" thickBot="1">
      <c r="A88" s="42" t="s">
        <v>87</v>
      </c>
      <c r="F88" s="49">
        <f xml:space="preserve"> F79 * F87</f>
        <v>2957140.0657439996</v>
      </c>
      <c r="G88" s="49">
        <f>G82+G85</f>
        <v>274768.00688020233</v>
      </c>
      <c r="H88" s="49">
        <f t="shared" ref="H88:R88" si="4">H82+H85</f>
        <v>274768.00688020233</v>
      </c>
      <c r="I88" s="49">
        <f t="shared" si="4"/>
        <v>190248.14596214631</v>
      </c>
      <c r="J88" s="49">
        <f t="shared" si="4"/>
        <v>274768.00688020233</v>
      </c>
      <c r="K88" s="49">
        <f t="shared" si="4"/>
        <v>218421.4542305897</v>
      </c>
      <c r="L88" s="49">
        <f t="shared" si="4"/>
        <v>245548.61903370236</v>
      </c>
      <c r="M88" s="49">
        <f t="shared" si="4"/>
        <v>246594.730555396</v>
      </c>
      <c r="N88" s="49">
        <f t="shared" si="4"/>
        <v>246594.730555396</v>
      </c>
      <c r="O88" s="49">
        <f t="shared" si="4"/>
        <v>244636.20228091924</v>
      </c>
      <c r="P88" s="49">
        <f t="shared" si="4"/>
        <v>246594.730555396</v>
      </c>
      <c r="Q88" s="49">
        <f t="shared" si="4"/>
        <v>246594.730555396</v>
      </c>
      <c r="R88" s="49">
        <f t="shared" si="4"/>
        <v>247602.70137445853</v>
      </c>
      <c r="S88" s="49">
        <f>SUM(G88:R88)</f>
        <v>2957140.0657440075</v>
      </c>
      <c r="T88" s="47"/>
      <c r="U88" s="47"/>
      <c r="V88" s="47"/>
    </row>
    <row r="89" spans="1:22" s="42" customFormat="1" ht="16.5" thickTop="1">
      <c r="H89" s="47"/>
      <c r="I89" s="47"/>
      <c r="J89" s="47"/>
      <c r="K89" s="47"/>
      <c r="L89" s="47"/>
      <c r="M89" s="47"/>
      <c r="N89" s="47"/>
      <c r="O89" s="47"/>
      <c r="P89" s="47"/>
      <c r="Q89" s="47"/>
      <c r="R89" s="47"/>
      <c r="S89" s="47">
        <f>S82+S85</f>
        <v>2957140.065744007</v>
      </c>
      <c r="T89" s="47"/>
      <c r="V89" s="47"/>
    </row>
    <row r="90" spans="1:22" s="42" customFormat="1">
      <c r="A90" s="42" t="s">
        <v>90</v>
      </c>
      <c r="H90" s="47"/>
      <c r="I90" s="47"/>
      <c r="J90" s="47"/>
      <c r="K90" s="47"/>
      <c r="L90" s="47"/>
      <c r="M90" s="47"/>
      <c r="N90" s="47"/>
      <c r="O90" s="47"/>
      <c r="P90" s="47"/>
      <c r="Q90" s="47"/>
      <c r="R90" s="47"/>
      <c r="S90" s="47"/>
      <c r="T90" s="47"/>
      <c r="U90" s="47"/>
      <c r="V90" s="47"/>
    </row>
  </sheetData>
  <mergeCells count="1">
    <mergeCell ref="A7:M8"/>
  </mergeCells>
  <pageMargins left="0.7" right="0.7" top="0.75" bottom="0.75" header="0.3" footer="0.3"/>
  <pageSetup scale="3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7409-D041-4F52-BA99-A5BE68AF9E4F}">
  <dimension ref="A1:AA60"/>
  <sheetViews>
    <sheetView view="pageBreakPreview" zoomScale="90" zoomScaleNormal="100" zoomScaleSheetLayoutView="90" workbookViewId="0"/>
  </sheetViews>
  <sheetFormatPr defaultColWidth="8.7109375" defaultRowHeight="15.75"/>
  <cols>
    <col min="1" max="5" width="8.7109375" style="5"/>
    <col min="6" max="9" width="13.5703125" style="5" customWidth="1"/>
    <col min="10" max="16384" width="8.7109375" style="5"/>
  </cols>
  <sheetData>
    <row r="1" spans="1:27">
      <c r="A1" s="2" t="s">
        <v>0</v>
      </c>
      <c r="B1" s="3"/>
      <c r="C1" s="4"/>
      <c r="D1" s="3"/>
      <c r="E1" s="3"/>
      <c r="F1" s="3"/>
      <c r="G1" s="3"/>
      <c r="H1" s="3"/>
      <c r="I1" s="3"/>
      <c r="J1" s="3"/>
      <c r="K1" s="3"/>
      <c r="L1" s="3"/>
      <c r="M1" s="3"/>
      <c r="N1" s="3"/>
      <c r="O1" s="3"/>
      <c r="P1" s="3"/>
      <c r="Q1" s="3"/>
      <c r="R1" s="3"/>
      <c r="S1" s="3"/>
      <c r="T1" s="3"/>
      <c r="U1" s="3"/>
      <c r="V1" s="3"/>
      <c r="W1" s="3"/>
      <c r="X1" s="3"/>
      <c r="Y1" s="3"/>
      <c r="Z1" s="3"/>
      <c r="AA1" s="3"/>
    </row>
    <row r="2" spans="1:27">
      <c r="A2" s="1" t="s">
        <v>56</v>
      </c>
      <c r="B2" s="3"/>
      <c r="C2" s="4"/>
      <c r="D2" s="3"/>
      <c r="E2" s="3"/>
      <c r="F2" s="3"/>
      <c r="G2" s="3"/>
      <c r="H2" s="3"/>
      <c r="I2" s="3"/>
      <c r="J2" s="3"/>
      <c r="K2" s="3"/>
      <c r="L2" s="3"/>
      <c r="M2" s="3"/>
      <c r="N2" s="3"/>
      <c r="O2" s="3"/>
      <c r="P2" s="3"/>
      <c r="Q2" s="3"/>
      <c r="R2" s="3"/>
      <c r="S2" s="3"/>
      <c r="T2" s="3"/>
      <c r="U2" s="3"/>
      <c r="V2" s="3"/>
      <c r="W2" s="3"/>
      <c r="X2" s="3"/>
      <c r="Y2" s="3"/>
      <c r="Z2" s="3"/>
      <c r="AA2" s="3"/>
    </row>
    <row r="3" spans="1:27">
      <c r="A3" s="1" t="s">
        <v>4</v>
      </c>
      <c r="B3" s="3"/>
      <c r="C3" s="4"/>
      <c r="D3" s="3"/>
      <c r="E3" s="3"/>
      <c r="F3" s="3"/>
      <c r="G3" s="3"/>
      <c r="H3" s="3"/>
      <c r="I3" s="3"/>
      <c r="J3" s="3"/>
      <c r="K3" s="3"/>
      <c r="L3" s="3"/>
      <c r="M3" s="3"/>
      <c r="N3" s="3"/>
      <c r="O3" s="3"/>
      <c r="P3" s="3"/>
      <c r="Q3" s="3"/>
      <c r="R3" s="3"/>
      <c r="S3" s="3"/>
      <c r="T3" s="3"/>
      <c r="U3" s="3"/>
      <c r="V3" s="3"/>
      <c r="W3" s="3"/>
      <c r="X3" s="3"/>
      <c r="Y3" s="3"/>
      <c r="Z3" s="3"/>
      <c r="AA3" s="3"/>
    </row>
    <row r="4" spans="1:27">
      <c r="A4" s="6" t="s">
        <v>5</v>
      </c>
      <c r="B4" s="3"/>
      <c r="C4" s="4"/>
      <c r="D4" s="3"/>
      <c r="E4" s="3"/>
      <c r="F4" s="3"/>
      <c r="G4" s="3"/>
      <c r="H4" s="3"/>
      <c r="I4" s="3"/>
      <c r="J4" s="3"/>
      <c r="K4" s="3"/>
      <c r="L4" s="3"/>
      <c r="M4" s="3"/>
      <c r="N4" s="3"/>
      <c r="O4" s="3"/>
      <c r="P4" s="3"/>
      <c r="Q4" s="3"/>
      <c r="R4" s="3"/>
      <c r="S4" s="3"/>
      <c r="T4" s="3"/>
      <c r="U4" s="3"/>
      <c r="V4" s="3"/>
      <c r="W4" s="3"/>
      <c r="X4" s="3"/>
      <c r="Y4" s="3"/>
      <c r="Z4" s="3"/>
      <c r="AA4" s="3"/>
    </row>
    <row r="5" spans="1:27">
      <c r="A5" s="1" t="s">
        <v>91</v>
      </c>
      <c r="B5" s="3"/>
      <c r="C5" s="4"/>
      <c r="D5" s="3"/>
      <c r="E5" s="3"/>
      <c r="F5" s="3"/>
      <c r="G5" s="3"/>
      <c r="H5" s="3"/>
      <c r="I5" s="3"/>
      <c r="J5" s="3"/>
      <c r="K5" s="3"/>
      <c r="L5" s="3"/>
      <c r="M5" s="3"/>
      <c r="N5" s="3"/>
      <c r="O5" s="3"/>
      <c r="P5" s="3"/>
      <c r="Q5" s="3"/>
      <c r="R5" s="3"/>
      <c r="S5" s="3"/>
      <c r="T5" s="3"/>
      <c r="U5" s="3"/>
      <c r="V5" s="3"/>
      <c r="W5" s="3"/>
      <c r="X5" s="3"/>
      <c r="Y5" s="3"/>
      <c r="Z5" s="3"/>
      <c r="AA5" s="3"/>
    </row>
    <row r="6" spans="1:27">
      <c r="A6" s="7"/>
      <c r="B6" s="3"/>
      <c r="C6" s="4"/>
      <c r="D6" s="3"/>
      <c r="E6" s="3"/>
      <c r="F6" s="3"/>
      <c r="G6" s="3"/>
      <c r="H6" s="3"/>
      <c r="I6" s="3"/>
      <c r="J6" s="3"/>
      <c r="K6" s="3"/>
      <c r="L6" s="3"/>
      <c r="M6" s="3"/>
      <c r="N6" s="3"/>
      <c r="O6" s="3"/>
      <c r="P6" s="3"/>
      <c r="Q6" s="3"/>
      <c r="R6" s="3"/>
      <c r="S6" s="3"/>
      <c r="T6" s="3"/>
      <c r="U6" s="3"/>
      <c r="V6" s="3"/>
      <c r="W6" s="3"/>
      <c r="X6" s="3"/>
      <c r="Y6" s="3"/>
      <c r="Z6" s="3"/>
      <c r="AA6" s="3"/>
    </row>
    <row r="7" spans="1:27">
      <c r="A7" s="5" t="s">
        <v>251</v>
      </c>
    </row>
    <row r="9" spans="1:27">
      <c r="B9" s="8" t="s">
        <v>92</v>
      </c>
    </row>
    <row r="10" spans="1:27">
      <c r="H10" s="9" t="s">
        <v>10</v>
      </c>
    </row>
    <row r="11" spans="1:27">
      <c r="H11" s="9" t="s">
        <v>11</v>
      </c>
    </row>
    <row r="12" spans="1:27">
      <c r="B12" s="5" t="s">
        <v>12</v>
      </c>
      <c r="H12" s="10">
        <v>-1371765</v>
      </c>
    </row>
    <row r="13" spans="1:27">
      <c r="B13" s="5" t="s">
        <v>13</v>
      </c>
      <c r="H13" s="10">
        <v>0</v>
      </c>
    </row>
    <row r="14" spans="1:27">
      <c r="B14" s="5" t="s">
        <v>14</v>
      </c>
      <c r="H14" s="11">
        <v>-1364386</v>
      </c>
    </row>
    <row r="15" spans="1:27">
      <c r="B15" s="5" t="s">
        <v>15</v>
      </c>
      <c r="H15" s="10">
        <f xml:space="preserve"> H12 - H13 - H14</f>
        <v>-7379</v>
      </c>
    </row>
    <row r="16" spans="1:27">
      <c r="B16" s="5" t="s">
        <v>16</v>
      </c>
      <c r="H16" s="10">
        <v>0</v>
      </c>
    </row>
    <row r="17" spans="1:9" ht="16.5" thickBot="1">
      <c r="B17" s="5" t="s">
        <v>17</v>
      </c>
      <c r="H17" s="12">
        <f xml:space="preserve"> H15 - H16</f>
        <v>-7379</v>
      </c>
    </row>
    <row r="18" spans="1:9" ht="16.5" thickTop="1">
      <c r="H18" s="10"/>
    </row>
    <row r="19" spans="1:9">
      <c r="B19" s="5" t="s">
        <v>18</v>
      </c>
      <c r="H19" s="10">
        <v>-1341767</v>
      </c>
    </row>
    <row r="20" spans="1:9">
      <c r="B20" s="5" t="s">
        <v>13</v>
      </c>
      <c r="H20" s="10">
        <v>0</v>
      </c>
    </row>
    <row r="21" spans="1:9">
      <c r="B21" s="5" t="s">
        <v>14</v>
      </c>
      <c r="H21" s="11">
        <v>-1337266</v>
      </c>
    </row>
    <row r="22" spans="1:9">
      <c r="B22" s="5" t="s">
        <v>15</v>
      </c>
      <c r="H22" s="10">
        <f xml:space="preserve"> H19 - H20 - H21</f>
        <v>-4501</v>
      </c>
    </row>
    <row r="23" spans="1:9">
      <c r="B23" s="5" t="s">
        <v>19</v>
      </c>
      <c r="H23" s="10">
        <v>0</v>
      </c>
    </row>
    <row r="24" spans="1:9" ht="16.5" thickBot="1">
      <c r="B24" s="5" t="s">
        <v>20</v>
      </c>
      <c r="H24" s="12">
        <f xml:space="preserve"> H22 - H23</f>
        <v>-4501</v>
      </c>
    </row>
    <row r="25" spans="1:9" ht="16.5" thickTop="1">
      <c r="H25" s="10"/>
    </row>
    <row r="26" spans="1:9">
      <c r="B26" s="5" t="s">
        <v>21</v>
      </c>
      <c r="H26" s="10">
        <v>0</v>
      </c>
    </row>
    <row r="27" spans="1:9">
      <c r="B27" s="5" t="s">
        <v>22</v>
      </c>
      <c r="H27" s="10">
        <f xml:space="preserve"> ( H17 + H24 ) / 2</f>
        <v>-5940</v>
      </c>
    </row>
    <row r="28" spans="1:9" ht="16.5" thickBot="1">
      <c r="B28" s="5" t="s">
        <v>23</v>
      </c>
      <c r="H28" s="12">
        <f>SUM(H26:H27)</f>
        <v>-5940</v>
      </c>
      <c r="I28" s="5" t="s">
        <v>93</v>
      </c>
    </row>
    <row r="29" spans="1:9" ht="16.5" thickTop="1"/>
    <row r="30" spans="1:9">
      <c r="A30" s="5" t="s">
        <v>25</v>
      </c>
    </row>
    <row r="31" spans="1:9">
      <c r="B31" s="23" t="s">
        <v>94</v>
      </c>
      <c r="C31" s="24"/>
      <c r="D31" s="24"/>
      <c r="E31" s="24"/>
      <c r="F31" s="24"/>
      <c r="G31" s="24"/>
      <c r="H31" s="24"/>
      <c r="I31" s="24"/>
    </row>
    <row r="32" spans="1:9">
      <c r="B32" s="23" t="s">
        <v>27</v>
      </c>
      <c r="C32" s="24"/>
      <c r="D32" s="24"/>
      <c r="E32" s="24"/>
      <c r="F32" s="24"/>
      <c r="G32" s="25" t="s">
        <v>28</v>
      </c>
      <c r="H32" s="25" t="s">
        <v>29</v>
      </c>
    </row>
    <row r="33" spans="1:8">
      <c r="B33" s="23" t="s">
        <v>30</v>
      </c>
      <c r="C33" s="24"/>
      <c r="D33" s="24"/>
      <c r="E33" s="24"/>
      <c r="F33" s="24"/>
      <c r="G33" s="53">
        <v>0.27983599999999997</v>
      </c>
      <c r="H33" s="53">
        <v>0.27983599999999997</v>
      </c>
    </row>
    <row r="34" spans="1:8">
      <c r="B34" s="23" t="s">
        <v>31</v>
      </c>
      <c r="C34" s="24"/>
      <c r="D34" s="24"/>
      <c r="E34" s="24"/>
      <c r="F34" s="24"/>
      <c r="G34" s="53"/>
      <c r="H34" s="53"/>
    </row>
    <row r="35" spans="1:8">
      <c r="B35" s="27" t="s">
        <v>32</v>
      </c>
      <c r="C35" s="24"/>
      <c r="D35" s="24"/>
      <c r="E35" s="24"/>
      <c r="F35" s="24"/>
      <c r="G35" s="24"/>
      <c r="H35" s="24"/>
    </row>
    <row r="36" spans="1:8">
      <c r="B36" s="24" t="s">
        <v>95</v>
      </c>
      <c r="C36" s="24"/>
      <c r="D36" s="24"/>
      <c r="E36" s="24"/>
      <c r="F36" s="24"/>
      <c r="G36" s="28">
        <v>0</v>
      </c>
      <c r="H36" s="28">
        <v>0</v>
      </c>
    </row>
    <row r="37" spans="1:8">
      <c r="B37" s="24" t="s">
        <v>35</v>
      </c>
      <c r="C37" s="24"/>
      <c r="D37" s="24"/>
      <c r="E37" s="24"/>
      <c r="F37" s="24"/>
      <c r="G37" s="29">
        <f>SUM(G36:G36)</f>
        <v>0</v>
      </c>
      <c r="H37" s="29">
        <f>SUM(H36:H36)</f>
        <v>0</v>
      </c>
    </row>
    <row r="38" spans="1:8">
      <c r="B38" s="24" t="s">
        <v>36</v>
      </c>
      <c r="C38" s="24"/>
      <c r="D38" s="24"/>
      <c r="E38" s="24"/>
      <c r="F38" s="24"/>
      <c r="G38" s="29">
        <f>G$33*G37</f>
        <v>0</v>
      </c>
      <c r="H38" s="29">
        <f>H$33*H37</f>
        <v>0</v>
      </c>
    </row>
    <row r="39" spans="1:8">
      <c r="F39" s="24"/>
      <c r="G39" s="28"/>
      <c r="H39" s="28"/>
    </row>
    <row r="40" spans="1:8">
      <c r="B40" s="27" t="s">
        <v>38</v>
      </c>
      <c r="C40" s="24"/>
      <c r="D40" s="24"/>
      <c r="E40" s="24"/>
      <c r="F40" s="24"/>
      <c r="G40" s="28"/>
      <c r="H40" s="28"/>
    </row>
    <row r="41" spans="1:8">
      <c r="B41" s="24" t="s">
        <v>96</v>
      </c>
      <c r="C41" s="24"/>
      <c r="D41" s="24"/>
      <c r="E41" s="24"/>
      <c r="F41" s="24"/>
      <c r="G41" s="28">
        <v>-51223.619999999995</v>
      </c>
      <c r="H41" s="28">
        <v>-51224</v>
      </c>
    </row>
    <row r="42" spans="1:8">
      <c r="B42" s="24" t="s">
        <v>97</v>
      </c>
      <c r="C42" s="24"/>
      <c r="D42" s="24"/>
      <c r="E42" s="24"/>
      <c r="F42" s="24"/>
      <c r="G42" s="28">
        <f xml:space="preserve"> 4285.14553462176 + 20568.6985661844</f>
        <v>24853.84410080616</v>
      </c>
      <c r="H42" s="28">
        <f xml:space="preserve"> 4285 + 30853</f>
        <v>35138</v>
      </c>
    </row>
    <row r="43" spans="1:8">
      <c r="B43" s="24" t="s">
        <v>35</v>
      </c>
      <c r="C43" s="24"/>
      <c r="D43" s="24"/>
      <c r="E43" s="24"/>
      <c r="F43" s="24"/>
      <c r="G43" s="29">
        <f>SUM(G41:G42)</f>
        <v>-26369.775899193835</v>
      </c>
      <c r="H43" s="29">
        <f>SUM(H41:H42)</f>
        <v>-16086</v>
      </c>
    </row>
    <row r="44" spans="1:8">
      <c r="B44" s="24" t="s">
        <v>36</v>
      </c>
      <c r="C44" s="24"/>
      <c r="D44" s="24"/>
      <c r="E44" s="24"/>
      <c r="F44" s="24"/>
      <c r="G44" s="29">
        <f>G$33*G43</f>
        <v>-7379.2126085268055</v>
      </c>
      <c r="H44" s="29">
        <f>H$33*H43</f>
        <v>-4501.4418959999994</v>
      </c>
    </row>
    <row r="45" spans="1:8">
      <c r="A45" s="24"/>
      <c r="B45" s="24"/>
      <c r="C45" s="24"/>
      <c r="D45" s="24"/>
      <c r="E45" s="24"/>
      <c r="F45" s="24"/>
    </row>
    <row r="46" spans="1:8">
      <c r="B46" s="27" t="s">
        <v>45</v>
      </c>
      <c r="C46" s="24"/>
      <c r="D46" s="24"/>
      <c r="E46" s="24"/>
      <c r="F46" s="24"/>
      <c r="G46" s="28"/>
      <c r="H46" s="28"/>
    </row>
    <row r="47" spans="1:8">
      <c r="B47" s="24" t="s">
        <v>98</v>
      </c>
      <c r="C47" s="24"/>
      <c r="D47" s="24"/>
      <c r="E47" s="24"/>
      <c r="F47" s="24"/>
      <c r="G47" s="28">
        <v>-4770551.4448506273</v>
      </c>
      <c r="H47" s="28">
        <v>-4713914</v>
      </c>
    </row>
    <row r="48" spans="1:8">
      <c r="B48" s="24" t="s">
        <v>99</v>
      </c>
      <c r="C48" s="24"/>
      <c r="D48" s="24"/>
      <c r="E48" s="24"/>
      <c r="F48" s="24"/>
      <c r="G48" s="28">
        <f>-60005.22 - 85460</f>
        <v>-145465.22</v>
      </c>
      <c r="H48" s="28">
        <f>-60005 - 85460</f>
        <v>-145465</v>
      </c>
    </row>
    <row r="49" spans="2:10">
      <c r="B49" s="24" t="s">
        <v>100</v>
      </c>
      <c r="C49" s="24"/>
      <c r="D49" s="24"/>
      <c r="E49" s="24"/>
      <c r="F49" s="24"/>
      <c r="G49" s="28">
        <v>70097.629412161419</v>
      </c>
      <c r="H49" s="28">
        <v>99104</v>
      </c>
    </row>
    <row r="50" spans="2:10">
      <c r="B50" s="24" t="s">
        <v>101</v>
      </c>
      <c r="C50" s="24"/>
      <c r="D50" s="24"/>
      <c r="E50" s="24"/>
      <c r="F50" s="24"/>
      <c r="G50" s="28">
        <v>-29744.826205112171</v>
      </c>
      <c r="H50" s="28">
        <v>-18474</v>
      </c>
    </row>
    <row r="51" spans="2:10">
      <c r="B51" s="24" t="s">
        <v>35</v>
      </c>
      <c r="C51" s="24"/>
      <c r="D51" s="24"/>
      <c r="E51" s="24"/>
      <c r="F51" s="24"/>
      <c r="G51" s="29">
        <f>SUM(G47:G50)</f>
        <v>-4875663.8616435779</v>
      </c>
      <c r="H51" s="29">
        <f>SUM(H47:H50)</f>
        <v>-4778749</v>
      </c>
    </row>
    <row r="52" spans="2:10">
      <c r="B52" s="24" t="s">
        <v>36</v>
      </c>
      <c r="C52" s="24"/>
      <c r="D52" s="24"/>
      <c r="E52" s="24"/>
      <c r="F52" s="24"/>
      <c r="G52" s="29">
        <f>G$33*G51</f>
        <v>-1364386.2723868922</v>
      </c>
      <c r="H52" s="29">
        <f>H$33*H51</f>
        <v>-1337266.005164</v>
      </c>
      <c r="J52" s="5" t="s">
        <v>102</v>
      </c>
    </row>
    <row r="53" spans="2:10">
      <c r="F53" s="24"/>
      <c r="G53" s="24"/>
      <c r="H53" s="24"/>
    </row>
    <row r="54" spans="2:10" ht="16.5" thickBot="1">
      <c r="B54" s="24" t="s">
        <v>103</v>
      </c>
      <c r="C54" s="24"/>
      <c r="D54" s="24"/>
      <c r="E54" s="24"/>
      <c r="F54" s="24"/>
      <c r="G54" s="30">
        <f>G37+G43+G51</f>
        <v>-4902033.6375427721</v>
      </c>
      <c r="H54" s="30">
        <f>H37+H43+H51</f>
        <v>-4794835</v>
      </c>
    </row>
    <row r="55" spans="2:10" ht="17.25" thickTop="1" thickBot="1">
      <c r="B55" s="24" t="s">
        <v>104</v>
      </c>
      <c r="C55" s="24"/>
      <c r="D55" s="24"/>
      <c r="E55" s="24"/>
      <c r="F55" s="24"/>
      <c r="G55" s="30">
        <f>G38+G44+G52</f>
        <v>-1371765.4849954189</v>
      </c>
      <c r="H55" s="30">
        <f>H38+H44+H52</f>
        <v>-1341767.4470599999</v>
      </c>
      <c r="J55" s="5" t="s">
        <v>105</v>
      </c>
    </row>
    <row r="56" spans="2:10" ht="16.5" thickTop="1">
      <c r="B56" s="24"/>
      <c r="C56" s="24"/>
      <c r="D56" s="24"/>
      <c r="E56" s="24"/>
      <c r="F56" s="24"/>
      <c r="G56" s="31"/>
      <c r="H56" s="31"/>
    </row>
    <row r="57" spans="2:10">
      <c r="B57" s="54">
        <v>283000</v>
      </c>
      <c r="C57" s="24" t="s">
        <v>53</v>
      </c>
      <c r="D57" s="24"/>
      <c r="E57" s="24"/>
      <c r="F57" s="24"/>
      <c r="G57" s="31">
        <v>-938222.34566288628</v>
      </c>
      <c r="H57" s="31">
        <v>-917701</v>
      </c>
    </row>
    <row r="58" spans="2:10">
      <c r="B58" s="54">
        <v>283001</v>
      </c>
      <c r="C58" s="24" t="s">
        <v>55</v>
      </c>
      <c r="D58" s="24"/>
      <c r="E58" s="24"/>
      <c r="F58" s="24"/>
      <c r="G58" s="31">
        <v>-433245.63340332627</v>
      </c>
      <c r="H58" s="31">
        <v>-423769</v>
      </c>
    </row>
    <row r="59" spans="2:10" ht="16.5" thickBot="1">
      <c r="B59" s="24"/>
      <c r="C59" s="24"/>
      <c r="D59" s="24"/>
      <c r="E59" s="24"/>
      <c r="F59" s="24"/>
      <c r="G59" s="32">
        <f>SUM(G57:G58)</f>
        <v>-1371467.9790662127</v>
      </c>
      <c r="H59" s="32">
        <f>SUM(H57:H58)</f>
        <v>-1341470</v>
      </c>
    </row>
    <row r="60" spans="2:10" ht="16.5" thickTop="1">
      <c r="F60" s="24"/>
    </row>
  </sheetData>
  <pageMargins left="0.7" right="0.7" top="0.75" bottom="0.75" header="0.3" footer="0.3"/>
  <pageSetup scale="54" orientation="portrait" horizontalDpi="1200" verticalDpi="1200" r:id="rId1"/>
  <colBreaks count="1" manualBreakCount="1">
    <brk id="17" max="5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A0CFA-EBC4-43FB-B0E6-7A66D0EFE892}">
  <sheetPr>
    <pageSetUpPr fitToPage="1"/>
  </sheetPr>
  <dimension ref="A1:AA58"/>
  <sheetViews>
    <sheetView view="pageBreakPreview" topLeftCell="A11" zoomScale="60" zoomScaleNormal="100" workbookViewId="0">
      <selection activeCell="M11" sqref="M11"/>
    </sheetView>
  </sheetViews>
  <sheetFormatPr defaultColWidth="8.7109375" defaultRowHeight="15.75"/>
  <cols>
    <col min="1" max="5" width="8.7109375" style="5"/>
    <col min="6" max="9" width="13.5703125" style="5" customWidth="1"/>
    <col min="10" max="16384" width="8.7109375" style="5"/>
  </cols>
  <sheetData>
    <row r="1" spans="1:27">
      <c r="A1" s="2" t="s">
        <v>0</v>
      </c>
      <c r="B1" s="3"/>
      <c r="C1" s="4"/>
      <c r="D1" s="3"/>
      <c r="E1" s="3"/>
      <c r="F1" s="3"/>
      <c r="G1" s="3"/>
      <c r="H1" s="3"/>
      <c r="I1" s="3"/>
      <c r="J1" s="3"/>
      <c r="K1" s="3"/>
      <c r="L1" s="3"/>
      <c r="M1" s="3"/>
      <c r="N1" s="3"/>
      <c r="O1" s="3"/>
      <c r="P1" s="3"/>
      <c r="Q1" s="3"/>
      <c r="R1" s="3"/>
      <c r="S1" s="3"/>
      <c r="T1" s="3"/>
      <c r="U1" s="3"/>
      <c r="V1" s="3"/>
      <c r="W1" s="3"/>
      <c r="X1" s="3"/>
      <c r="Y1" s="3"/>
      <c r="Z1" s="3"/>
      <c r="AA1" s="3"/>
    </row>
    <row r="2" spans="1:27">
      <c r="A2" s="1" t="s">
        <v>56</v>
      </c>
      <c r="B2" s="3"/>
      <c r="C2" s="4"/>
      <c r="D2" s="3"/>
      <c r="E2" s="3"/>
      <c r="F2" s="3"/>
      <c r="G2" s="3"/>
      <c r="H2" s="3"/>
      <c r="I2" s="3"/>
      <c r="J2" s="3"/>
      <c r="K2" s="3"/>
      <c r="L2" s="3"/>
      <c r="M2" s="3"/>
      <c r="N2" s="3"/>
      <c r="O2" s="3"/>
      <c r="P2" s="3"/>
      <c r="Q2" s="3"/>
      <c r="R2" s="3"/>
      <c r="S2" s="3"/>
      <c r="T2" s="3"/>
      <c r="U2" s="3"/>
      <c r="V2" s="3"/>
      <c r="W2" s="3"/>
      <c r="X2" s="3"/>
      <c r="Y2" s="3"/>
      <c r="Z2" s="3"/>
      <c r="AA2" s="3"/>
    </row>
    <row r="3" spans="1:27">
      <c r="A3" s="1" t="s">
        <v>4</v>
      </c>
      <c r="B3" s="3"/>
      <c r="C3" s="4"/>
      <c r="D3" s="3"/>
      <c r="E3" s="3"/>
      <c r="F3" s="3"/>
      <c r="G3" s="3"/>
      <c r="H3" s="3"/>
      <c r="I3" s="3"/>
      <c r="J3" s="3"/>
      <c r="K3" s="3"/>
      <c r="L3" s="3"/>
      <c r="M3" s="3"/>
      <c r="N3" s="3"/>
      <c r="O3" s="3"/>
      <c r="P3" s="3"/>
      <c r="Q3" s="3"/>
      <c r="R3" s="3"/>
      <c r="S3" s="3"/>
      <c r="T3" s="3"/>
      <c r="U3" s="3"/>
      <c r="V3" s="3"/>
      <c r="W3" s="3"/>
      <c r="X3" s="3"/>
      <c r="Y3" s="3"/>
      <c r="Z3" s="3"/>
      <c r="AA3" s="3"/>
    </row>
    <row r="4" spans="1:27">
      <c r="A4" s="6" t="s">
        <v>5</v>
      </c>
      <c r="B4" s="3"/>
      <c r="C4" s="4"/>
      <c r="D4" s="3"/>
      <c r="E4" s="3"/>
      <c r="F4" s="3"/>
      <c r="G4" s="3"/>
      <c r="H4" s="3"/>
      <c r="I4" s="3"/>
      <c r="J4" s="3"/>
      <c r="K4" s="3"/>
      <c r="L4" s="3"/>
      <c r="M4" s="3"/>
      <c r="N4" s="3"/>
      <c r="O4" s="3"/>
      <c r="P4" s="3"/>
      <c r="Q4" s="3"/>
      <c r="R4" s="3"/>
      <c r="S4" s="3"/>
      <c r="T4" s="3"/>
      <c r="U4" s="3"/>
      <c r="V4" s="3"/>
      <c r="W4" s="3"/>
      <c r="X4" s="3"/>
      <c r="Y4" s="3"/>
      <c r="Z4" s="3"/>
      <c r="AA4" s="3"/>
    </row>
    <row r="5" spans="1:27">
      <c r="A5" s="1" t="s">
        <v>106</v>
      </c>
      <c r="B5" s="3"/>
      <c r="C5" s="4"/>
      <c r="D5" s="3"/>
      <c r="E5" s="3"/>
      <c r="F5" s="3"/>
      <c r="G5" s="3"/>
      <c r="H5" s="3"/>
      <c r="I5" s="3"/>
      <c r="J5" s="3"/>
      <c r="K5" s="3"/>
      <c r="L5" s="3"/>
      <c r="M5" s="3"/>
      <c r="N5" s="3"/>
      <c r="O5" s="3"/>
      <c r="P5" s="3"/>
      <c r="Q5" s="3"/>
      <c r="R5" s="3"/>
      <c r="S5" s="3"/>
      <c r="T5" s="3"/>
      <c r="U5" s="3"/>
      <c r="V5" s="3"/>
      <c r="W5" s="3"/>
      <c r="X5" s="3"/>
      <c r="Y5" s="3"/>
      <c r="Z5" s="3"/>
      <c r="AA5" s="3"/>
    </row>
    <row r="6" spans="1:27">
      <c r="A6" s="7"/>
      <c r="B6" s="3"/>
      <c r="C6" s="4"/>
      <c r="D6" s="3"/>
      <c r="E6" s="3"/>
      <c r="F6" s="3"/>
      <c r="G6" s="3"/>
      <c r="H6" s="3"/>
      <c r="I6" s="3"/>
      <c r="J6" s="3"/>
      <c r="K6" s="3"/>
      <c r="L6" s="3"/>
      <c r="M6" s="3"/>
      <c r="N6" s="3"/>
      <c r="O6" s="3"/>
      <c r="P6" s="3"/>
      <c r="Q6" s="3"/>
      <c r="R6" s="3"/>
      <c r="S6" s="3"/>
      <c r="T6" s="3"/>
      <c r="U6" s="3"/>
      <c r="V6" s="3"/>
      <c r="W6" s="3"/>
      <c r="X6" s="3"/>
      <c r="Y6" s="3"/>
      <c r="Z6" s="3"/>
      <c r="AA6" s="3"/>
    </row>
    <row r="7" spans="1:27">
      <c r="A7" s="5" t="s">
        <v>252</v>
      </c>
    </row>
    <row r="9" spans="1:27">
      <c r="B9" s="8" t="s">
        <v>107</v>
      </c>
    </row>
    <row r="10" spans="1:27">
      <c r="H10" s="9" t="s">
        <v>10</v>
      </c>
    </row>
    <row r="11" spans="1:27">
      <c r="H11" s="9" t="s">
        <v>11</v>
      </c>
    </row>
    <row r="12" spans="1:27">
      <c r="B12" s="5" t="s">
        <v>12</v>
      </c>
      <c r="H12" s="10">
        <v>998309</v>
      </c>
    </row>
    <row r="13" spans="1:27">
      <c r="B13" s="5" t="s">
        <v>13</v>
      </c>
      <c r="H13" s="10">
        <v>0</v>
      </c>
    </row>
    <row r="14" spans="1:27">
      <c r="B14" s="5" t="s">
        <v>14</v>
      </c>
      <c r="H14" s="11">
        <v>0</v>
      </c>
    </row>
    <row r="15" spans="1:27">
      <c r="B15" s="5" t="s">
        <v>15</v>
      </c>
      <c r="H15" s="10">
        <f xml:space="preserve"> H12 - H13 - H14</f>
        <v>998309</v>
      </c>
    </row>
    <row r="16" spans="1:27">
      <c r="B16" s="5" t="s">
        <v>16</v>
      </c>
      <c r="H16" s="10">
        <v>0</v>
      </c>
    </row>
    <row r="17" spans="1:9" ht="16.5" thickBot="1">
      <c r="B17" s="5" t="s">
        <v>17</v>
      </c>
      <c r="H17" s="12">
        <f xml:space="preserve"> H15 - H16</f>
        <v>998309</v>
      </c>
    </row>
    <row r="18" spans="1:9" ht="16.5" thickTop="1">
      <c r="H18" s="10"/>
    </row>
    <row r="19" spans="1:9">
      <c r="B19" s="5" t="s">
        <v>18</v>
      </c>
      <c r="H19" s="10">
        <v>1003206</v>
      </c>
    </row>
    <row r="20" spans="1:9">
      <c r="B20" s="5" t="s">
        <v>13</v>
      </c>
      <c r="H20" s="10">
        <v>0</v>
      </c>
    </row>
    <row r="21" spans="1:9">
      <c r="B21" s="5" t="s">
        <v>14</v>
      </c>
      <c r="H21" s="11">
        <v>0</v>
      </c>
    </row>
    <row r="22" spans="1:9">
      <c r="B22" s="5" t="s">
        <v>15</v>
      </c>
      <c r="H22" s="10">
        <f xml:space="preserve"> H19 - H20 - H21</f>
        <v>1003206</v>
      </c>
    </row>
    <row r="23" spans="1:9">
      <c r="B23" s="5" t="s">
        <v>19</v>
      </c>
      <c r="H23" s="10">
        <v>0</v>
      </c>
    </row>
    <row r="24" spans="1:9" ht="16.5" thickBot="1">
      <c r="B24" s="5" t="s">
        <v>20</v>
      </c>
      <c r="H24" s="12">
        <f xml:space="preserve"> H22 - H23</f>
        <v>1003206</v>
      </c>
    </row>
    <row r="25" spans="1:9" ht="16.5" thickTop="1">
      <c r="H25" s="10"/>
    </row>
    <row r="26" spans="1:9">
      <c r="B26" s="5" t="s">
        <v>21</v>
      </c>
      <c r="H26" s="10">
        <v>0</v>
      </c>
    </row>
    <row r="27" spans="1:9">
      <c r="B27" s="5" t="s">
        <v>22</v>
      </c>
      <c r="H27" s="10">
        <f xml:space="preserve"> ( H17 + H24 ) / 2</f>
        <v>1000757.5</v>
      </c>
    </row>
    <row r="28" spans="1:9" ht="16.5" thickBot="1">
      <c r="B28" s="5" t="s">
        <v>23</v>
      </c>
      <c r="H28" s="12">
        <f>SUM(H26:H27)</f>
        <v>1000757.5</v>
      </c>
      <c r="I28" s="5" t="s">
        <v>108</v>
      </c>
    </row>
    <row r="29" spans="1:9" ht="16.5" thickTop="1"/>
    <row r="30" spans="1:9">
      <c r="A30" s="5" t="s">
        <v>25</v>
      </c>
    </row>
    <row r="31" spans="1:9">
      <c r="B31" s="23" t="s">
        <v>109</v>
      </c>
      <c r="C31" s="24"/>
      <c r="D31" s="24"/>
      <c r="E31" s="24"/>
      <c r="F31" s="24"/>
      <c r="G31" s="24"/>
      <c r="H31" s="24"/>
      <c r="I31" s="24"/>
    </row>
    <row r="32" spans="1:9">
      <c r="B32" s="23" t="s">
        <v>27</v>
      </c>
      <c r="C32" s="24"/>
      <c r="D32" s="24"/>
      <c r="E32" s="24"/>
      <c r="F32" s="24"/>
      <c r="G32" s="25" t="s">
        <v>28</v>
      </c>
      <c r="H32" s="25" t="s">
        <v>29</v>
      </c>
    </row>
    <row r="33" spans="1:10">
      <c r="B33" s="23" t="s">
        <v>30</v>
      </c>
      <c r="C33" s="24"/>
      <c r="D33" s="24"/>
      <c r="E33" s="24"/>
      <c r="F33" s="24"/>
      <c r="G33" s="26">
        <v>0.27983599999999997</v>
      </c>
      <c r="H33" s="26">
        <v>0.27983599999999997</v>
      </c>
    </row>
    <row r="34" spans="1:10">
      <c r="B34" s="23" t="s">
        <v>31</v>
      </c>
      <c r="C34" s="24"/>
      <c r="D34" s="24"/>
      <c r="E34" s="24"/>
      <c r="F34" s="24"/>
      <c r="G34" s="26"/>
      <c r="H34" s="26"/>
    </row>
    <row r="35" spans="1:10">
      <c r="B35" s="27" t="s">
        <v>32</v>
      </c>
      <c r="C35" s="24"/>
      <c r="D35" s="24"/>
      <c r="E35" s="24"/>
      <c r="F35" s="24"/>
      <c r="G35" s="24"/>
      <c r="H35" s="24"/>
    </row>
    <row r="36" spans="1:10">
      <c r="B36" s="24" t="s">
        <v>95</v>
      </c>
      <c r="C36" s="24"/>
      <c r="D36" s="24"/>
      <c r="E36" s="24"/>
      <c r="F36" s="24"/>
      <c r="G36" s="28">
        <v>0</v>
      </c>
      <c r="H36" s="28">
        <v>0</v>
      </c>
    </row>
    <row r="37" spans="1:10">
      <c r="B37" s="24" t="s">
        <v>35</v>
      </c>
      <c r="C37" s="24"/>
      <c r="D37" s="24"/>
      <c r="E37" s="24"/>
      <c r="F37" s="24"/>
      <c r="G37" s="29">
        <f>SUM(G36:G36)</f>
        <v>0</v>
      </c>
      <c r="H37" s="29">
        <f>SUM(H36:H36)</f>
        <v>0</v>
      </c>
    </row>
    <row r="38" spans="1:10">
      <c r="B38" s="24" t="s">
        <v>36</v>
      </c>
      <c r="C38" s="24"/>
      <c r="D38" s="24"/>
      <c r="E38" s="24"/>
      <c r="F38" s="24"/>
      <c r="G38" s="29">
        <f>G$33*G37</f>
        <v>0</v>
      </c>
      <c r="H38" s="29">
        <f>H$33*H37</f>
        <v>0</v>
      </c>
    </row>
    <row r="39" spans="1:10">
      <c r="F39" s="24"/>
      <c r="G39" s="28"/>
      <c r="H39" s="28"/>
    </row>
    <row r="40" spans="1:10">
      <c r="B40" s="27" t="s">
        <v>38</v>
      </c>
      <c r="C40" s="24"/>
      <c r="D40" s="24"/>
      <c r="E40" s="24"/>
      <c r="F40" s="24"/>
      <c r="G40" s="28"/>
      <c r="H40" s="28"/>
    </row>
    <row r="41" spans="1:10">
      <c r="B41" s="24" t="s">
        <v>110</v>
      </c>
      <c r="C41" s="24"/>
      <c r="D41" s="24"/>
      <c r="E41" s="24"/>
      <c r="F41" s="24"/>
      <c r="G41" s="28">
        <v>3512533</v>
      </c>
      <c r="H41" s="28">
        <v>3512533</v>
      </c>
    </row>
    <row r="42" spans="1:10">
      <c r="B42" s="24" t="s">
        <v>111</v>
      </c>
      <c r="C42" s="24"/>
      <c r="D42" s="24"/>
      <c r="E42" s="24"/>
      <c r="F42" s="24"/>
      <c r="G42" s="28">
        <v>-553255.7333333334</v>
      </c>
      <c r="H42" s="28">
        <v>-787425</v>
      </c>
    </row>
    <row r="43" spans="1:10">
      <c r="B43" s="24" t="s">
        <v>112</v>
      </c>
      <c r="C43" s="24"/>
      <c r="D43" s="24"/>
      <c r="E43" s="24"/>
      <c r="F43" s="24"/>
      <c r="G43" s="28">
        <v>608201.78893147712</v>
      </c>
      <c r="H43" s="28">
        <v>859871</v>
      </c>
    </row>
    <row r="44" spans="1:10">
      <c r="B44" s="24" t="s">
        <v>35</v>
      </c>
      <c r="C44" s="24"/>
      <c r="D44" s="24"/>
      <c r="E44" s="24"/>
      <c r="F44" s="24"/>
      <c r="G44" s="29">
        <f>SUM(G41:G43)</f>
        <v>3567479.0555981435</v>
      </c>
      <c r="H44" s="29">
        <f>SUM(H41:H43)</f>
        <v>3584979</v>
      </c>
    </row>
    <row r="45" spans="1:10">
      <c r="B45" s="24" t="s">
        <v>36</v>
      </c>
      <c r="C45" s="24"/>
      <c r="D45" s="24"/>
      <c r="E45" s="24"/>
      <c r="F45" s="24"/>
      <c r="G45" s="29">
        <f>G$33*G44</f>
        <v>998309.06900236197</v>
      </c>
      <c r="H45" s="29">
        <f>H$33*H44</f>
        <v>1003206.1834439998</v>
      </c>
      <c r="J45" s="5" t="s">
        <v>113</v>
      </c>
    </row>
    <row r="46" spans="1:10">
      <c r="A46" s="24"/>
      <c r="B46" s="24"/>
      <c r="C46" s="24"/>
      <c r="D46" s="24"/>
      <c r="E46" s="24"/>
      <c r="F46" s="24"/>
    </row>
    <row r="47" spans="1:10">
      <c r="B47" s="27" t="s">
        <v>45</v>
      </c>
      <c r="C47" s="24"/>
      <c r="D47" s="24"/>
      <c r="E47" s="24"/>
      <c r="F47" s="24"/>
      <c r="G47" s="28"/>
      <c r="H47" s="28"/>
    </row>
    <row r="48" spans="1:10">
      <c r="B48" s="24" t="s">
        <v>95</v>
      </c>
      <c r="C48" s="24"/>
      <c r="D48" s="24"/>
      <c r="E48" s="24"/>
      <c r="F48" s="24"/>
      <c r="G48" s="28">
        <v>0</v>
      </c>
      <c r="H48" s="28">
        <v>0</v>
      </c>
    </row>
    <row r="49" spans="2:8">
      <c r="B49" s="24" t="s">
        <v>35</v>
      </c>
      <c r="C49" s="24"/>
      <c r="D49" s="24"/>
      <c r="E49" s="24"/>
      <c r="F49" s="24"/>
      <c r="G49" s="29">
        <f>SUM(G48:G48)</f>
        <v>0</v>
      </c>
      <c r="H49" s="29">
        <f>SUM(H48:H48)</f>
        <v>0</v>
      </c>
    </row>
    <row r="50" spans="2:8">
      <c r="B50" s="24" t="s">
        <v>36</v>
      </c>
      <c r="C50" s="24"/>
      <c r="D50" s="24"/>
      <c r="E50" s="24"/>
      <c r="F50" s="24"/>
      <c r="G50" s="29">
        <f>G$33*G49</f>
        <v>0</v>
      </c>
      <c r="H50" s="29">
        <f>H$33*H49</f>
        <v>0</v>
      </c>
    </row>
    <row r="51" spans="2:8">
      <c r="F51" s="24"/>
      <c r="G51" s="24"/>
      <c r="H51" s="24"/>
    </row>
    <row r="52" spans="2:8" ht="16.5" thickBot="1">
      <c r="B52" s="24" t="s">
        <v>114</v>
      </c>
      <c r="C52" s="24"/>
      <c r="D52" s="24"/>
      <c r="E52" s="24"/>
      <c r="F52" s="24"/>
      <c r="G52" s="30">
        <f>G37+G44+G49</f>
        <v>3567479.0555981435</v>
      </c>
      <c r="H52" s="30">
        <f>H37+H44+H49</f>
        <v>3584979</v>
      </c>
    </row>
    <row r="53" spans="2:8" ht="17.25" thickTop="1" thickBot="1">
      <c r="B53" s="24" t="s">
        <v>115</v>
      </c>
      <c r="C53" s="24"/>
      <c r="D53" s="24"/>
      <c r="E53" s="24"/>
      <c r="F53" s="24"/>
      <c r="G53" s="30">
        <f>G38+G45+G50</f>
        <v>998309.06900236197</v>
      </c>
      <c r="H53" s="30">
        <f>H38+H45+H50</f>
        <v>1003206.1834439998</v>
      </c>
    </row>
    <row r="54" spans="2:8" ht="16.5" thickTop="1">
      <c r="B54" s="24"/>
      <c r="C54" s="24"/>
      <c r="D54" s="24"/>
      <c r="E54" s="24"/>
      <c r="F54" s="24"/>
      <c r="G54" s="31"/>
      <c r="H54" s="31"/>
    </row>
    <row r="55" spans="2:8">
      <c r="B55" s="54">
        <v>190000</v>
      </c>
      <c r="C55" s="24" t="s">
        <v>116</v>
      </c>
      <c r="D55" s="24"/>
      <c r="E55" s="24"/>
      <c r="F55" s="24"/>
      <c r="G55" s="31">
        <v>682943.89368644624</v>
      </c>
      <c r="H55" s="31">
        <v>686294</v>
      </c>
    </row>
    <row r="56" spans="2:8">
      <c r="B56" s="54">
        <v>190001</v>
      </c>
      <c r="C56" s="24" t="s">
        <v>117</v>
      </c>
      <c r="D56" s="24"/>
      <c r="E56" s="24"/>
      <c r="F56" s="24"/>
      <c r="G56" s="31">
        <v>315365.13613887591</v>
      </c>
      <c r="H56" s="31">
        <v>316912</v>
      </c>
    </row>
    <row r="57" spans="2:8" ht="16.5" thickBot="1">
      <c r="B57" s="24"/>
      <c r="C57" s="24"/>
      <c r="D57" s="24"/>
      <c r="E57" s="24"/>
      <c r="F57" s="24"/>
      <c r="G57" s="32">
        <f>SUM(G55:G56)</f>
        <v>998309.0298253221</v>
      </c>
      <c r="H57" s="32">
        <f>SUM(H55:H56)</f>
        <v>1003206</v>
      </c>
    </row>
    <row r="58" spans="2:8" ht="16.5" thickTop="1">
      <c r="F58" s="24"/>
    </row>
  </sheetData>
  <pageMargins left="0.7" right="0.7" top="0.75" bottom="0.75" header="0.3" footer="0.3"/>
  <pageSetup scale="54" fitToHeight="0" orientation="portrait" horizontalDpi="1200" verticalDpi="1200" r:id="rId1"/>
  <colBreaks count="1" manualBreakCount="1">
    <brk id="17" max="5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1A322-9CA9-4DB0-84D0-A8BAFC1D9D2C}">
  <dimension ref="A1:M61"/>
  <sheetViews>
    <sheetView view="pageBreakPreview" topLeftCell="A10" zoomScale="60" zoomScaleNormal="100" workbookViewId="0">
      <selection activeCell="Q13" sqref="Q13"/>
    </sheetView>
  </sheetViews>
  <sheetFormatPr defaultColWidth="8.7109375" defaultRowHeight="15.75"/>
  <cols>
    <col min="1" max="2" width="8.85546875" style="24" bestFit="1" customWidth="1"/>
    <col min="3" max="3" width="8.7109375" style="24"/>
    <col min="4" max="4" width="15.28515625" style="24" bestFit="1" customWidth="1"/>
    <col min="5" max="8" width="12.5703125" style="24" customWidth="1"/>
    <col min="9" max="10" width="14.5703125" style="24" customWidth="1"/>
    <col min="11" max="11" width="2.5703125" style="24" customWidth="1"/>
    <col min="12" max="12" width="11.85546875" style="28" customWidth="1"/>
    <col min="13" max="13" width="13.5703125" style="24" customWidth="1"/>
    <col min="14" max="16384" width="8.7109375" style="5"/>
  </cols>
  <sheetData>
    <row r="1" spans="1:13">
      <c r="A1" s="2" t="s">
        <v>0</v>
      </c>
      <c r="B1" s="3"/>
      <c r="C1" s="4"/>
      <c r="D1" s="3"/>
      <c r="E1" s="3"/>
      <c r="L1" s="55"/>
      <c r="M1" s="55"/>
    </row>
    <row r="2" spans="1:13">
      <c r="A2" s="1" t="s">
        <v>56</v>
      </c>
      <c r="B2" s="3"/>
      <c r="C2" s="4"/>
      <c r="D2" s="3"/>
      <c r="E2" s="3"/>
      <c r="L2" s="55"/>
      <c r="M2" s="55"/>
    </row>
    <row r="3" spans="1:13">
      <c r="A3" s="1" t="s">
        <v>4</v>
      </c>
      <c r="B3" s="3"/>
      <c r="C3" s="4"/>
      <c r="D3" s="3"/>
      <c r="E3" s="3"/>
      <c r="L3" s="55"/>
      <c r="M3" s="55"/>
    </row>
    <row r="4" spans="1:13">
      <c r="A4" s="6" t="s">
        <v>5</v>
      </c>
      <c r="B4" s="3"/>
      <c r="C4" s="4"/>
      <c r="D4" s="3"/>
      <c r="E4" s="3"/>
      <c r="L4" s="55"/>
      <c r="M4" s="55"/>
    </row>
    <row r="5" spans="1:13">
      <c r="A5" s="1" t="s">
        <v>177</v>
      </c>
      <c r="B5" s="3"/>
      <c r="C5" s="4"/>
      <c r="D5" s="3"/>
      <c r="E5" s="3"/>
      <c r="L5" s="55"/>
      <c r="M5" s="55"/>
    </row>
    <row r="6" spans="1:13">
      <c r="A6" s="5"/>
      <c r="B6" s="3"/>
      <c r="C6" s="4"/>
      <c r="D6" s="3"/>
      <c r="E6" s="3"/>
      <c r="L6" s="55"/>
      <c r="M6" s="55"/>
    </row>
    <row r="7" spans="1:13" s="8" customFormat="1">
      <c r="A7" s="23"/>
      <c r="B7" s="23"/>
      <c r="C7" s="23"/>
      <c r="D7" s="23"/>
      <c r="E7" s="23"/>
      <c r="F7" s="23"/>
      <c r="G7" s="23"/>
      <c r="H7" s="23"/>
      <c r="I7" s="23"/>
      <c r="J7" s="23"/>
      <c r="K7" s="23"/>
      <c r="L7" s="25"/>
      <c r="M7" s="25" t="s">
        <v>118</v>
      </c>
    </row>
    <row r="8" spans="1:13" s="8" customFormat="1">
      <c r="A8" s="23"/>
      <c r="B8" s="23"/>
      <c r="C8" s="23"/>
      <c r="D8" s="23"/>
      <c r="E8" s="23"/>
      <c r="F8" s="23"/>
      <c r="G8" s="23"/>
      <c r="H8" s="23"/>
      <c r="I8" s="23"/>
      <c r="J8" s="23"/>
      <c r="K8" s="23"/>
      <c r="L8" s="25" t="s">
        <v>2</v>
      </c>
      <c r="M8" s="25" t="s">
        <v>119</v>
      </c>
    </row>
    <row r="9" spans="1:13" s="8" customFormat="1">
      <c r="A9" s="23"/>
      <c r="B9" s="25"/>
      <c r="C9" s="56"/>
      <c r="D9" s="56"/>
      <c r="E9" s="23"/>
      <c r="F9" s="23"/>
      <c r="G9" s="23"/>
      <c r="H9" s="23"/>
      <c r="I9" s="23"/>
      <c r="J9" s="57" t="s">
        <v>120</v>
      </c>
      <c r="K9" s="57"/>
      <c r="L9" s="25" t="s">
        <v>121</v>
      </c>
      <c r="M9" s="25" t="s">
        <v>121</v>
      </c>
    </row>
    <row r="10" spans="1:13" s="8" customFormat="1">
      <c r="A10" s="103" t="s">
        <v>122</v>
      </c>
      <c r="B10" s="103"/>
      <c r="C10" s="103"/>
      <c r="D10" s="56" t="s">
        <v>123</v>
      </c>
      <c r="E10" s="23"/>
      <c r="F10" s="23"/>
      <c r="G10" s="23"/>
      <c r="H10" s="23"/>
      <c r="I10" s="57" t="s">
        <v>124</v>
      </c>
      <c r="J10" s="57" t="s">
        <v>125</v>
      </c>
      <c r="K10" s="57"/>
      <c r="L10" s="25" t="s">
        <v>126</v>
      </c>
      <c r="M10" s="25" t="s">
        <v>126</v>
      </c>
    </row>
    <row r="11" spans="1:13" s="8" customFormat="1">
      <c r="A11" s="57" t="s">
        <v>127</v>
      </c>
      <c r="B11" s="57" t="s">
        <v>128</v>
      </c>
      <c r="C11" s="57" t="s">
        <v>129</v>
      </c>
      <c r="D11" s="57" t="s">
        <v>130</v>
      </c>
      <c r="E11" s="57" t="s">
        <v>131</v>
      </c>
      <c r="F11" s="57"/>
      <c r="G11" s="57"/>
      <c r="H11" s="57"/>
      <c r="I11" s="57" t="s">
        <v>132</v>
      </c>
      <c r="J11" s="57" t="s">
        <v>133</v>
      </c>
      <c r="K11" s="57"/>
      <c r="L11" s="56">
        <v>2025</v>
      </c>
      <c r="M11" s="56">
        <v>2025</v>
      </c>
    </row>
    <row r="12" spans="1:13">
      <c r="A12" s="58" t="s">
        <v>134</v>
      </c>
    </row>
    <row r="13" spans="1:13">
      <c r="A13" s="24">
        <v>2020</v>
      </c>
      <c r="B13" s="59">
        <v>8</v>
      </c>
      <c r="C13" s="60" t="s">
        <v>135</v>
      </c>
      <c r="D13" s="60" t="s">
        <v>136</v>
      </c>
      <c r="E13" s="24" t="s">
        <v>137</v>
      </c>
      <c r="I13" s="28">
        <v>32948237.652183641</v>
      </c>
      <c r="J13" s="28">
        <v>2237663.82313863</v>
      </c>
      <c r="K13" s="28"/>
      <c r="L13" s="28">
        <v>677293.84810696112</v>
      </c>
      <c r="M13" s="28">
        <v>45998.088199502039</v>
      </c>
    </row>
    <row r="14" spans="1:13">
      <c r="A14" s="24">
        <f t="shared" ref="A14:A21" si="0">+A13</f>
        <v>2020</v>
      </c>
      <c r="B14" s="59">
        <v>8</v>
      </c>
      <c r="C14" s="60" t="s">
        <v>135</v>
      </c>
      <c r="D14" s="60" t="s">
        <v>138</v>
      </c>
      <c r="E14" s="24" t="s">
        <v>139</v>
      </c>
      <c r="I14" s="28">
        <v>15436528.14617366</v>
      </c>
      <c r="J14" s="28">
        <v>1001358.86710411</v>
      </c>
      <c r="K14" s="28"/>
      <c r="L14" s="28">
        <v>279928.35274140269</v>
      </c>
      <c r="M14" s="28">
        <v>18158.794226079419</v>
      </c>
    </row>
    <row r="15" spans="1:13">
      <c r="A15" s="24">
        <f t="shared" si="0"/>
        <v>2020</v>
      </c>
      <c r="B15" s="59">
        <v>8</v>
      </c>
      <c r="C15" s="60" t="s">
        <v>135</v>
      </c>
      <c r="D15" s="60" t="s">
        <v>140</v>
      </c>
      <c r="E15" s="24" t="s">
        <v>141</v>
      </c>
      <c r="I15" s="28">
        <v>5680834.1558805192</v>
      </c>
      <c r="J15" s="28">
        <v>369409.34702609503</v>
      </c>
      <c r="K15" s="28"/>
      <c r="L15" s="28">
        <v>88052.965715681989</v>
      </c>
      <c r="M15" s="28">
        <v>5725.847239365412</v>
      </c>
    </row>
    <row r="16" spans="1:13">
      <c r="A16" s="24">
        <f t="shared" si="0"/>
        <v>2020</v>
      </c>
      <c r="B16" s="59">
        <v>8</v>
      </c>
      <c r="C16" s="60" t="s">
        <v>142</v>
      </c>
      <c r="D16" s="60" t="s">
        <v>138</v>
      </c>
      <c r="E16" s="24" t="s">
        <v>143</v>
      </c>
      <c r="I16" s="28">
        <v>20873311.845307499</v>
      </c>
      <c r="J16" s="28">
        <v>1349258.6352709201</v>
      </c>
      <c r="K16" s="28"/>
      <c r="L16" s="28">
        <v>348584.3515390192</v>
      </c>
      <c r="M16" s="28">
        <v>21048.434431553425</v>
      </c>
    </row>
    <row r="17" spans="1:13">
      <c r="A17" s="24">
        <f>+A16</f>
        <v>2020</v>
      </c>
      <c r="B17" s="59">
        <v>8</v>
      </c>
      <c r="C17" s="60" t="s">
        <v>142</v>
      </c>
      <c r="D17" s="60" t="s">
        <v>138</v>
      </c>
      <c r="E17" s="24" t="s">
        <v>144</v>
      </c>
      <c r="I17" s="28">
        <v>50236671.403106816</v>
      </c>
      <c r="J17" s="28">
        <v>3096267.8198995199</v>
      </c>
      <c r="K17" s="28"/>
      <c r="L17" s="28">
        <v>743502.6987955299</v>
      </c>
      <c r="M17" s="28">
        <v>43657.373833162084</v>
      </c>
    </row>
    <row r="18" spans="1:13">
      <c r="A18" s="24">
        <f t="shared" si="0"/>
        <v>2020</v>
      </c>
      <c r="B18" s="59">
        <v>8</v>
      </c>
      <c r="C18" s="60" t="s">
        <v>142</v>
      </c>
      <c r="D18" s="60" t="s">
        <v>138</v>
      </c>
      <c r="E18" s="24" t="s">
        <v>145</v>
      </c>
      <c r="I18" s="28">
        <f>13671830.4145601-I19</f>
        <v>11345798.364560101</v>
      </c>
      <c r="J18" s="28">
        <v>735626.17842045904</v>
      </c>
      <c r="K18" s="28"/>
      <c r="L18" s="28">
        <v>285914.15598494606</v>
      </c>
      <c r="M18" s="28">
        <v>15448.14960447496</v>
      </c>
    </row>
    <row r="19" spans="1:13">
      <c r="A19" s="24">
        <f t="shared" si="0"/>
        <v>2020</v>
      </c>
      <c r="B19" s="59">
        <v>8</v>
      </c>
      <c r="C19" s="60" t="s">
        <v>142</v>
      </c>
      <c r="D19" s="60" t="s">
        <v>138</v>
      </c>
      <c r="E19" s="24" t="s">
        <v>146</v>
      </c>
      <c r="I19" s="28">
        <v>2326032.0499999998</v>
      </c>
      <c r="J19" s="28"/>
      <c r="K19" s="28"/>
      <c r="L19" s="28">
        <v>58616.015286066562</v>
      </c>
      <c r="M19" s="28">
        <v>0</v>
      </c>
    </row>
    <row r="20" spans="1:13">
      <c r="A20" s="24">
        <f t="shared" si="0"/>
        <v>2020</v>
      </c>
      <c r="B20" s="59">
        <v>8</v>
      </c>
      <c r="C20" s="60" t="s">
        <v>142</v>
      </c>
      <c r="D20" s="60" t="s">
        <v>138</v>
      </c>
      <c r="E20" s="24" t="s">
        <v>147</v>
      </c>
      <c r="I20" s="28">
        <f>61352480.7426503-I21</f>
        <v>60408228.932650298</v>
      </c>
      <c r="J20" s="28">
        <v>3916724.2645540498</v>
      </c>
      <c r="K20" s="28"/>
      <c r="L20" s="28">
        <v>1365226.0556328536</v>
      </c>
      <c r="M20" s="28">
        <v>68151.00445400615</v>
      </c>
    </row>
    <row r="21" spans="1:13">
      <c r="A21" s="24">
        <f t="shared" si="0"/>
        <v>2020</v>
      </c>
      <c r="B21" s="59">
        <v>8</v>
      </c>
      <c r="C21" s="60" t="s">
        <v>142</v>
      </c>
      <c r="D21" s="60" t="s">
        <v>138</v>
      </c>
      <c r="E21" s="24" t="s">
        <v>148</v>
      </c>
      <c r="I21" s="28">
        <v>944251.81</v>
      </c>
      <c r="J21" s="28"/>
      <c r="K21" s="28"/>
      <c r="L21" s="28">
        <v>21340.092183926332</v>
      </c>
      <c r="M21" s="28">
        <v>0</v>
      </c>
    </row>
    <row r="22" spans="1:13">
      <c r="A22" s="24">
        <f>+A20</f>
        <v>2020</v>
      </c>
      <c r="B22" s="59">
        <v>8</v>
      </c>
      <c r="C22" s="60" t="s">
        <v>142</v>
      </c>
      <c r="D22" s="60" t="s">
        <v>149</v>
      </c>
      <c r="E22" s="24" t="s">
        <v>150</v>
      </c>
      <c r="I22" s="28">
        <v>38814.958813824647</v>
      </c>
      <c r="J22" s="28">
        <v>2518.48281825503</v>
      </c>
      <c r="K22" s="28"/>
      <c r="L22" s="28">
        <v>7763.04</v>
      </c>
      <c r="M22" s="28">
        <v>503.69969349196003</v>
      </c>
    </row>
    <row r="23" spans="1:13">
      <c r="B23" s="59"/>
      <c r="C23" s="60"/>
      <c r="D23" s="60"/>
      <c r="I23" s="28"/>
      <c r="J23" s="28"/>
      <c r="K23" s="28"/>
      <c r="M23" s="28"/>
    </row>
    <row r="24" spans="1:13">
      <c r="A24" s="61">
        <f>+A13</f>
        <v>2020</v>
      </c>
      <c r="B24" s="62"/>
      <c r="C24" s="63"/>
      <c r="D24" s="63"/>
      <c r="E24" s="61" t="s">
        <v>151</v>
      </c>
      <c r="F24" s="61"/>
      <c r="G24" s="61"/>
      <c r="H24" s="61"/>
      <c r="I24" s="64">
        <f>SUM(I13:I23)</f>
        <v>200238709.31867635</v>
      </c>
      <c r="J24" s="64">
        <f t="shared" ref="J24" si="1">SUM(J13:J23)</f>
        <v>12708827.41823204</v>
      </c>
      <c r="K24" s="64"/>
      <c r="L24" s="64">
        <v>3876221.5759863872</v>
      </c>
      <c r="M24" s="64">
        <v>218691.39168163546</v>
      </c>
    </row>
    <row r="26" spans="1:13">
      <c r="A26" s="58" t="s">
        <v>152</v>
      </c>
    </row>
    <row r="27" spans="1:13">
      <c r="A27" s="24">
        <v>2020</v>
      </c>
      <c r="B27" s="59">
        <v>8</v>
      </c>
      <c r="C27" s="24" t="s">
        <v>135</v>
      </c>
      <c r="D27" s="60" t="s">
        <v>138</v>
      </c>
      <c r="E27" s="24" t="s">
        <v>153</v>
      </c>
      <c r="I27" s="28">
        <v>5623.8499999991054</v>
      </c>
      <c r="J27" s="28"/>
      <c r="K27" s="28"/>
      <c r="L27" s="65">
        <v>115.60554612617605</v>
      </c>
      <c r="M27" s="28">
        <v>0</v>
      </c>
    </row>
    <row r="28" spans="1:13">
      <c r="A28" s="24">
        <v>2020</v>
      </c>
      <c r="B28" s="59">
        <v>8</v>
      </c>
      <c r="C28" s="24" t="s">
        <v>135</v>
      </c>
      <c r="D28" s="60" t="s">
        <v>140</v>
      </c>
      <c r="E28" s="24" t="s">
        <v>154</v>
      </c>
      <c r="I28" s="28">
        <v>26764.762833100409</v>
      </c>
      <c r="J28" s="28"/>
      <c r="K28" s="28"/>
      <c r="L28" s="65">
        <v>414.85399493519679</v>
      </c>
      <c r="M28" s="28">
        <v>0</v>
      </c>
    </row>
    <row r="29" spans="1:13">
      <c r="A29" s="24">
        <v>2020</v>
      </c>
      <c r="B29" s="59">
        <v>8</v>
      </c>
      <c r="C29" s="24" t="s">
        <v>142</v>
      </c>
      <c r="D29" s="60" t="s">
        <v>138</v>
      </c>
      <c r="E29" s="24" t="s">
        <v>155</v>
      </c>
      <c r="I29" s="28">
        <v>104758.13721645296</v>
      </c>
      <c r="J29" s="28"/>
      <c r="K29" s="28"/>
      <c r="L29" s="65">
        <v>1749.4611109469051</v>
      </c>
      <c r="M29" s="28">
        <v>0</v>
      </c>
    </row>
    <row r="30" spans="1:13">
      <c r="A30" s="24">
        <v>2020</v>
      </c>
      <c r="B30" s="59">
        <v>8</v>
      </c>
      <c r="C30" s="24" t="s">
        <v>142</v>
      </c>
      <c r="D30" s="60" t="s">
        <v>138</v>
      </c>
      <c r="E30" s="24" t="s">
        <v>156</v>
      </c>
      <c r="I30" s="28">
        <v>760575.85466077237</v>
      </c>
      <c r="J30" s="28"/>
      <c r="K30" s="28"/>
      <c r="L30" s="65">
        <v>11256.522074112359</v>
      </c>
      <c r="M30" s="28">
        <v>0</v>
      </c>
    </row>
    <row r="31" spans="1:13">
      <c r="A31" s="24">
        <v>2020</v>
      </c>
      <c r="B31" s="59">
        <v>8</v>
      </c>
      <c r="C31" s="24" t="s">
        <v>142</v>
      </c>
      <c r="D31" s="60" t="s">
        <v>138</v>
      </c>
      <c r="E31" s="24" t="s">
        <v>157</v>
      </c>
      <c r="I31" s="28">
        <v>61831.475495709252</v>
      </c>
      <c r="J31" s="28"/>
      <c r="K31" s="28"/>
      <c r="L31" s="65">
        <v>1558.1533852108976</v>
      </c>
      <c r="M31" s="28">
        <v>0</v>
      </c>
    </row>
    <row r="32" spans="1:13">
      <c r="A32" s="24">
        <v>2020</v>
      </c>
      <c r="B32" s="59">
        <v>8</v>
      </c>
      <c r="C32" s="24" t="s">
        <v>142</v>
      </c>
      <c r="D32" s="60" t="s">
        <v>138</v>
      </c>
      <c r="E32" s="24" t="s">
        <v>158</v>
      </c>
      <c r="I32" s="28">
        <v>330445.68150530785</v>
      </c>
      <c r="J32" s="28"/>
      <c r="K32" s="28"/>
      <c r="L32" s="65">
        <v>7468.0728492367189</v>
      </c>
      <c r="M32" s="28">
        <v>0</v>
      </c>
    </row>
    <row r="33" spans="1:13">
      <c r="L33" s="66"/>
      <c r="M33" s="66"/>
    </row>
    <row r="34" spans="1:13">
      <c r="A34" s="61" t="s">
        <v>159</v>
      </c>
      <c r="B34" s="61"/>
      <c r="C34" s="61"/>
      <c r="D34" s="61"/>
      <c r="E34" s="61" t="s">
        <v>151</v>
      </c>
      <c r="F34" s="61"/>
      <c r="G34" s="61"/>
      <c r="H34" s="61"/>
      <c r="I34" s="64">
        <f>SUM(I27:I32)</f>
        <v>1289999.761711342</v>
      </c>
      <c r="J34" s="64">
        <f t="shared" ref="J34" si="2">SUM(J27:J32)</f>
        <v>0</v>
      </c>
      <c r="K34" s="64"/>
      <c r="L34" s="64">
        <v>22562.668960568251</v>
      </c>
      <c r="M34" s="64">
        <v>0</v>
      </c>
    </row>
    <row r="36" spans="1:13">
      <c r="A36" s="58" t="s">
        <v>160</v>
      </c>
      <c r="I36" s="28"/>
      <c r="J36" s="28"/>
      <c r="K36" s="28"/>
      <c r="M36" s="67"/>
    </row>
    <row r="37" spans="1:13">
      <c r="A37" s="24">
        <v>2021</v>
      </c>
      <c r="B37" s="59">
        <v>10</v>
      </c>
      <c r="C37" s="24" t="s">
        <v>161</v>
      </c>
      <c r="D37" s="60" t="s">
        <v>138</v>
      </c>
      <c r="E37" s="68" t="s">
        <v>162</v>
      </c>
      <c r="I37" s="28">
        <v>403181.12</v>
      </c>
      <c r="J37" s="28">
        <v>17636.93</v>
      </c>
      <c r="K37" s="28"/>
      <c r="L37" s="28">
        <v>30964.270736441631</v>
      </c>
      <c r="M37" s="28">
        <v>1354.5145057379411</v>
      </c>
    </row>
    <row r="38" spans="1:13">
      <c r="A38" s="24">
        <v>2021</v>
      </c>
      <c r="B38" s="59">
        <v>8</v>
      </c>
      <c r="C38" s="24" t="s">
        <v>142</v>
      </c>
      <c r="D38" s="60" t="s">
        <v>138</v>
      </c>
      <c r="E38" s="68" t="s">
        <v>137</v>
      </c>
      <c r="I38" s="28">
        <v>1410260.9300000009</v>
      </c>
      <c r="J38" s="28">
        <v>0</v>
      </c>
      <c r="K38" s="28"/>
      <c r="L38" s="28">
        <v>28989.7463469127</v>
      </c>
      <c r="M38" s="28">
        <v>0</v>
      </c>
    </row>
    <row r="39" spans="1:13">
      <c r="A39" s="24">
        <v>2021</v>
      </c>
      <c r="B39" s="59">
        <v>8</v>
      </c>
      <c r="C39" s="24" t="s">
        <v>142</v>
      </c>
      <c r="D39" s="60" t="s">
        <v>138</v>
      </c>
      <c r="E39" s="68" t="s">
        <v>163</v>
      </c>
      <c r="I39" s="28">
        <v>822170.62</v>
      </c>
      <c r="J39" s="28">
        <v>0</v>
      </c>
      <c r="K39" s="28"/>
      <c r="L39" s="28">
        <v>14909.367258597333</v>
      </c>
      <c r="M39" s="28">
        <v>0</v>
      </c>
    </row>
    <row r="40" spans="1:13">
      <c r="A40" s="24">
        <v>2021</v>
      </c>
      <c r="B40" s="59">
        <v>8</v>
      </c>
      <c r="C40" s="24" t="s">
        <v>135</v>
      </c>
      <c r="D40" s="60" t="s">
        <v>140</v>
      </c>
      <c r="E40" s="68" t="s">
        <v>164</v>
      </c>
      <c r="I40" s="28">
        <v>-26089.00283310041</v>
      </c>
      <c r="J40" s="28">
        <v>0</v>
      </c>
      <c r="K40" s="28"/>
      <c r="L40" s="28">
        <v>-404.37971061720896</v>
      </c>
      <c r="M40" s="28">
        <v>0</v>
      </c>
    </row>
    <row r="41" spans="1:13">
      <c r="A41" s="24">
        <v>2021</v>
      </c>
      <c r="B41" s="59">
        <v>12</v>
      </c>
      <c r="C41" s="24" t="s">
        <v>161</v>
      </c>
      <c r="D41" s="60" t="s">
        <v>138</v>
      </c>
      <c r="E41" s="68" t="s">
        <v>165</v>
      </c>
      <c r="I41" s="28">
        <v>25047</v>
      </c>
      <c r="J41" s="28">
        <v>0</v>
      </c>
      <c r="K41" s="28"/>
      <c r="L41" s="28">
        <v>247.92000000000004</v>
      </c>
      <c r="M41" s="28">
        <v>0</v>
      </c>
    </row>
    <row r="42" spans="1:13">
      <c r="A42" s="24">
        <v>2021</v>
      </c>
      <c r="B42" s="59">
        <v>11</v>
      </c>
      <c r="C42" s="24" t="s">
        <v>161</v>
      </c>
      <c r="D42" s="60" t="s">
        <v>138</v>
      </c>
      <c r="E42" s="68" t="s">
        <v>166</v>
      </c>
      <c r="I42" s="28">
        <v>155844.5</v>
      </c>
      <c r="J42" s="28">
        <v>2510.38</v>
      </c>
      <c r="K42" s="28"/>
      <c r="L42" s="28">
        <v>2602.6034764404385</v>
      </c>
      <c r="M42" s="28">
        <v>39.161927481511611</v>
      </c>
    </row>
    <row r="43" spans="1:13">
      <c r="A43" s="24">
        <v>2021</v>
      </c>
      <c r="B43" s="59">
        <v>8</v>
      </c>
      <c r="C43" s="24" t="s">
        <v>142</v>
      </c>
      <c r="D43" s="60" t="s">
        <v>138</v>
      </c>
      <c r="E43" s="68" t="s">
        <v>143</v>
      </c>
      <c r="I43" s="28">
        <v>-173185.52721645296</v>
      </c>
      <c r="J43" s="28">
        <v>0</v>
      </c>
      <c r="K43" s="28"/>
      <c r="L43" s="28">
        <v>-2892.1986672786693</v>
      </c>
      <c r="M43" s="28">
        <v>0</v>
      </c>
    </row>
    <row r="44" spans="1:13">
      <c r="A44" s="24">
        <v>2021</v>
      </c>
      <c r="B44" s="59">
        <v>8</v>
      </c>
      <c r="C44" s="24" t="s">
        <v>142</v>
      </c>
      <c r="D44" s="60" t="s">
        <v>138</v>
      </c>
      <c r="E44" s="68" t="s">
        <v>144</v>
      </c>
      <c r="I44" s="28">
        <v>-242563.58466077235</v>
      </c>
      <c r="J44" s="28">
        <v>13154.6</v>
      </c>
      <c r="K44" s="28"/>
      <c r="L44" s="28">
        <v>-3589.9408696422706</v>
      </c>
      <c r="M44" s="28">
        <v>185.47984968701806</v>
      </c>
    </row>
    <row r="45" spans="1:13">
      <c r="A45" s="24">
        <v>2021</v>
      </c>
      <c r="B45" s="59">
        <v>8</v>
      </c>
      <c r="C45" s="24" t="s">
        <v>142</v>
      </c>
      <c r="D45" s="60" t="s">
        <v>138</v>
      </c>
      <c r="E45" s="68" t="s">
        <v>167</v>
      </c>
      <c r="I45" s="28">
        <v>-61530.335495709252</v>
      </c>
      <c r="J45" s="28">
        <v>0</v>
      </c>
      <c r="K45" s="28"/>
      <c r="L45" s="28">
        <v>-1550.5646562235881</v>
      </c>
      <c r="M45" s="28">
        <v>0</v>
      </c>
    </row>
    <row r="46" spans="1:13">
      <c r="A46" s="24">
        <v>2021</v>
      </c>
      <c r="B46" s="59">
        <v>8</v>
      </c>
      <c r="C46" s="24" t="s">
        <v>142</v>
      </c>
      <c r="D46" s="60" t="s">
        <v>138</v>
      </c>
      <c r="E46" s="68" t="s">
        <v>168</v>
      </c>
      <c r="I46" s="28">
        <v>-328066.38150530786</v>
      </c>
      <c r="J46" s="28">
        <v>0</v>
      </c>
      <c r="K46" s="28"/>
      <c r="L46" s="28">
        <v>-7414.3006660166357</v>
      </c>
      <c r="M46" s="28">
        <v>0</v>
      </c>
    </row>
    <row r="47" spans="1:13">
      <c r="B47" s="59"/>
      <c r="D47" s="60"/>
      <c r="I47" s="28"/>
      <c r="J47" s="28"/>
      <c r="K47" s="28"/>
      <c r="M47" s="67"/>
    </row>
    <row r="48" spans="1:13">
      <c r="A48" s="61">
        <v>2021</v>
      </c>
      <c r="B48" s="62"/>
      <c r="C48" s="63"/>
      <c r="D48" s="63"/>
      <c r="E48" s="61" t="s">
        <v>169</v>
      </c>
      <c r="F48" s="61"/>
      <c r="G48" s="61"/>
      <c r="H48" s="61"/>
      <c r="I48" s="64">
        <f>SUM(I37:I47)</f>
        <v>1985069.3382886578</v>
      </c>
      <c r="J48" s="64">
        <f t="shared" ref="J48" si="3">SUM(J37:J47)</f>
        <v>33301.910000000003</v>
      </c>
      <c r="K48" s="64"/>
      <c r="L48" s="64">
        <v>61862.523248613703</v>
      </c>
      <c r="M48" s="64">
        <v>1579.1562829064708</v>
      </c>
    </row>
    <row r="49" spans="1:13">
      <c r="B49" s="59"/>
      <c r="C49" s="60"/>
      <c r="D49" s="60"/>
      <c r="I49" s="28"/>
      <c r="J49" s="28"/>
      <c r="K49" s="28"/>
      <c r="M49" s="28"/>
    </row>
    <row r="50" spans="1:13">
      <c r="A50" s="58" t="s">
        <v>170</v>
      </c>
      <c r="B50" s="59"/>
      <c r="C50" s="60"/>
      <c r="D50" s="60"/>
      <c r="I50" s="4"/>
      <c r="J50" s="28"/>
      <c r="K50" s="28"/>
      <c r="M50" s="28"/>
    </row>
    <row r="51" spans="1:13">
      <c r="A51" s="24">
        <v>2022</v>
      </c>
      <c r="B51" s="59"/>
      <c r="C51" s="60"/>
      <c r="D51" s="60" t="s">
        <v>138</v>
      </c>
      <c r="E51" s="68" t="s">
        <v>143</v>
      </c>
      <c r="I51" s="28">
        <f xml:space="preserve"> 11323.41 + 286994.07</f>
        <v>298317.48</v>
      </c>
      <c r="J51" s="28"/>
      <c r="K51" s="28"/>
      <c r="L51" s="28">
        <v>4981.9025408721573</v>
      </c>
      <c r="M51" s="28">
        <v>0</v>
      </c>
    </row>
    <row r="52" spans="1:13">
      <c r="A52" s="24">
        <v>2022</v>
      </c>
      <c r="B52" s="60"/>
      <c r="C52" s="60"/>
      <c r="D52" s="60" t="s">
        <v>138</v>
      </c>
      <c r="E52" s="68" t="s">
        <v>171</v>
      </c>
      <c r="I52" s="28">
        <v>558.9899999999999</v>
      </c>
      <c r="J52" s="28"/>
      <c r="K52" s="28"/>
      <c r="L52" s="28">
        <v>42.930377540901475</v>
      </c>
      <c r="M52" s="28">
        <v>0</v>
      </c>
    </row>
    <row r="53" spans="1:13">
      <c r="A53" s="61">
        <v>2022</v>
      </c>
      <c r="B53" s="62"/>
      <c r="C53" s="63"/>
      <c r="D53" s="63"/>
      <c r="E53" s="61" t="s">
        <v>172</v>
      </c>
      <c r="F53" s="61"/>
      <c r="G53" s="61"/>
      <c r="H53" s="61"/>
      <c r="I53" s="64">
        <f t="shared" ref="I53:J53" si="4">SUM(I51:I52)</f>
        <v>298876.46999999997</v>
      </c>
      <c r="J53" s="64">
        <f t="shared" si="4"/>
        <v>0</v>
      </c>
      <c r="K53" s="64"/>
      <c r="L53" s="64">
        <v>5024.8329184130589</v>
      </c>
      <c r="M53" s="64">
        <v>0</v>
      </c>
    </row>
    <row r="54" spans="1:13">
      <c r="B54" s="59"/>
      <c r="C54" s="60"/>
      <c r="D54" s="60"/>
      <c r="I54" s="28"/>
      <c r="J54" s="28"/>
      <c r="K54" s="28"/>
      <c r="M54" s="28"/>
    </row>
    <row r="55" spans="1:13">
      <c r="A55" s="58" t="s">
        <v>173</v>
      </c>
      <c r="B55" s="59"/>
      <c r="C55" s="60"/>
      <c r="D55" s="60"/>
      <c r="I55" s="28"/>
      <c r="J55" s="28"/>
      <c r="K55" s="28"/>
      <c r="M55" s="28"/>
    </row>
    <row r="56" spans="1:13">
      <c r="A56" s="24">
        <v>2023</v>
      </c>
      <c r="B56" s="59">
        <v>1</v>
      </c>
      <c r="C56" s="60" t="s">
        <v>174</v>
      </c>
      <c r="D56" s="60" t="s">
        <v>138</v>
      </c>
      <c r="E56" s="68" t="s">
        <v>171</v>
      </c>
      <c r="I56" s="28">
        <v>101249.56999999999</v>
      </c>
      <c r="J56" s="28">
        <v>4160</v>
      </c>
      <c r="K56" s="28"/>
      <c r="L56" s="28">
        <v>7775.9571118516124</v>
      </c>
      <c r="M56" s="28">
        <v>319.48759471573766</v>
      </c>
    </row>
    <row r="57" spans="1:13">
      <c r="A57" s="24">
        <v>2023</v>
      </c>
      <c r="B57" s="60">
        <v>4</v>
      </c>
      <c r="C57" s="60" t="s">
        <v>175</v>
      </c>
      <c r="D57" s="60" t="s">
        <v>138</v>
      </c>
      <c r="E57" s="68" t="s">
        <v>171</v>
      </c>
      <c r="I57" s="28">
        <v>1496.9</v>
      </c>
      <c r="J57" s="28"/>
      <c r="K57" s="28"/>
      <c r="L57" s="28">
        <v>114.96177416586242</v>
      </c>
      <c r="M57" s="28">
        <v>0</v>
      </c>
    </row>
    <row r="58" spans="1:13">
      <c r="A58" s="61">
        <v>2023</v>
      </c>
      <c r="B58" s="62"/>
      <c r="C58" s="63"/>
      <c r="D58" s="63"/>
      <c r="E58" s="61" t="s">
        <v>172</v>
      </c>
      <c r="F58" s="61"/>
      <c r="G58" s="61"/>
      <c r="H58" s="61"/>
      <c r="I58" s="64">
        <f t="shared" ref="I58:J58" si="5">SUM(I56:I57)</f>
        <v>102746.46999999999</v>
      </c>
      <c r="J58" s="64">
        <f t="shared" si="5"/>
        <v>4160</v>
      </c>
      <c r="K58" s="64"/>
      <c r="L58" s="64">
        <v>7890.9188860174745</v>
      </c>
      <c r="M58" s="64">
        <v>319.48759471573766</v>
      </c>
    </row>
    <row r="59" spans="1:13">
      <c r="B59" s="59"/>
      <c r="C59" s="60"/>
      <c r="D59" s="60"/>
      <c r="I59" s="28"/>
      <c r="J59" s="28"/>
      <c r="K59" s="28"/>
      <c r="M59" s="28"/>
    </row>
    <row r="60" spans="1:13" ht="16.5" thickBot="1">
      <c r="A60" s="23" t="s">
        <v>176</v>
      </c>
      <c r="I60" s="69">
        <f xml:space="preserve"> I24 + I34 + I48 + I53 + I58</f>
        <v>203915401.35867634</v>
      </c>
      <c r="J60" s="69">
        <f xml:space="preserve"> J24 + J34 + J48 + J53 + J58</f>
        <v>12746289.328232041</v>
      </c>
      <c r="K60" s="69"/>
      <c r="L60" s="69">
        <f xml:space="preserve"> L24 + L34 + L48 + L53 + L58</f>
        <v>3973562.5199999996</v>
      </c>
      <c r="M60" s="69">
        <f xml:space="preserve"> M24 + M34 + M48 + M53 + M58</f>
        <v>220590.03555925767</v>
      </c>
    </row>
    <row r="61" spans="1:13" ht="16.5" thickTop="1"/>
  </sheetData>
  <mergeCells count="1">
    <mergeCell ref="A10:C10"/>
  </mergeCells>
  <pageMargins left="0.7" right="0.7" top="0.75" bottom="0.75" header="0.3" footer="0.3"/>
  <pageSetup scale="61"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09FE-E05C-4E62-A6A8-0BB00B5AA09C}">
  <sheetPr>
    <pageSetUpPr fitToPage="1"/>
  </sheetPr>
  <dimension ref="A1:AA22"/>
  <sheetViews>
    <sheetView view="pageBreakPreview" zoomScale="60" zoomScaleNormal="100" workbookViewId="0">
      <selection activeCell="I26" sqref="I26"/>
    </sheetView>
  </sheetViews>
  <sheetFormatPr defaultColWidth="8.7109375" defaultRowHeight="15.75"/>
  <cols>
    <col min="1" max="1" width="14.5703125" style="3" customWidth="1"/>
    <col min="2" max="2" width="15.5703125" style="3" customWidth="1"/>
    <col min="3" max="3" width="15.5703125" style="4" customWidth="1"/>
    <col min="4" max="5" width="14.5703125" style="3" customWidth="1"/>
    <col min="6" max="7" width="18.5703125" style="3" customWidth="1"/>
    <col min="8" max="8" width="2.5703125" style="3" customWidth="1"/>
    <col min="9" max="12" width="14.5703125" style="3" customWidth="1"/>
    <col min="13" max="13" width="2.5703125" style="3" customWidth="1"/>
    <col min="14" max="17" width="14.5703125" style="3" customWidth="1"/>
    <col min="18" max="19" width="17.5703125" style="3" customWidth="1"/>
    <col min="20" max="20" width="2.5703125" style="3" customWidth="1"/>
    <col min="21" max="23" width="14.5703125" style="3" customWidth="1"/>
    <col min="24" max="27" width="13.5703125" style="3" customWidth="1"/>
    <col min="28" max="16384" width="8.7109375" style="5"/>
  </cols>
  <sheetData>
    <row r="1" spans="1:27">
      <c r="A1" s="2" t="s">
        <v>0</v>
      </c>
    </row>
    <row r="2" spans="1:27">
      <c r="A2" s="1" t="s">
        <v>56</v>
      </c>
    </row>
    <row r="3" spans="1:27">
      <c r="A3" s="1" t="s">
        <v>4</v>
      </c>
    </row>
    <row r="4" spans="1:27">
      <c r="A4" s="6" t="s">
        <v>5</v>
      </c>
    </row>
    <row r="5" spans="1:27">
      <c r="A5" s="1" t="s">
        <v>178</v>
      </c>
    </row>
    <row r="6" spans="1:27">
      <c r="A6" s="7"/>
    </row>
    <row r="7" spans="1:27">
      <c r="A7" s="5" t="s">
        <v>179</v>
      </c>
      <c r="B7" s="5" t="s">
        <v>180</v>
      </c>
      <c r="C7" s="5" t="s">
        <v>181</v>
      </c>
      <c r="F7" s="10">
        <v>145029.56</v>
      </c>
    </row>
    <row r="8" spans="1:27">
      <c r="C8" s="70"/>
    </row>
    <row r="9" spans="1:27">
      <c r="A9" s="71"/>
      <c r="C9" s="3"/>
      <c r="E9" s="72" t="s">
        <v>182</v>
      </c>
      <c r="G9" s="72" t="s">
        <v>182</v>
      </c>
      <c r="I9" s="73" t="s">
        <v>183</v>
      </c>
      <c r="N9" s="74" t="s">
        <v>184</v>
      </c>
      <c r="O9" s="75"/>
      <c r="P9" s="75"/>
      <c r="Q9" s="75"/>
      <c r="R9" s="75"/>
      <c r="S9" s="75"/>
      <c r="T9" s="75"/>
      <c r="U9" s="74" t="s">
        <v>185</v>
      </c>
      <c r="V9" s="76">
        <f>O10</f>
        <v>0.191436</v>
      </c>
      <c r="W9" s="76">
        <f>P10</f>
        <v>8.8400000000000006E-2</v>
      </c>
      <c r="X9" s="76">
        <f>Q10</f>
        <v>1.3885726029071155</v>
      </c>
      <c r="Y9" s="76">
        <f>R10</f>
        <v>0.191436</v>
      </c>
      <c r="Z9" s="76">
        <f>S10</f>
        <v>8.8400000000000006E-2</v>
      </c>
    </row>
    <row r="10" spans="1:27">
      <c r="B10" s="72" t="s">
        <v>186</v>
      </c>
      <c r="C10" s="72" t="s">
        <v>186</v>
      </c>
      <c r="D10" s="72" t="s">
        <v>182</v>
      </c>
      <c r="E10" s="72" t="s">
        <v>187</v>
      </c>
      <c r="F10" s="72" t="s">
        <v>182</v>
      </c>
      <c r="G10" s="72" t="s">
        <v>187</v>
      </c>
      <c r="N10" s="75"/>
      <c r="O10" s="76">
        <v>0.191436</v>
      </c>
      <c r="P10" s="76">
        <v>8.8400000000000006E-2</v>
      </c>
      <c r="Q10" s="76">
        <f>F13</f>
        <v>1.3885726029071155</v>
      </c>
      <c r="R10" s="76">
        <f>O10</f>
        <v>0.191436</v>
      </c>
      <c r="S10" s="76">
        <f>P10</f>
        <v>8.8400000000000006E-2</v>
      </c>
      <c r="T10" s="75"/>
      <c r="U10" s="75"/>
      <c r="V10" s="104" t="s">
        <v>188</v>
      </c>
      <c r="W10" s="104" t="s">
        <v>189</v>
      </c>
      <c r="X10" s="104" t="s">
        <v>190</v>
      </c>
      <c r="Y10" s="104" t="s">
        <v>191</v>
      </c>
      <c r="Z10" s="104" t="s">
        <v>192</v>
      </c>
    </row>
    <row r="11" spans="1:27">
      <c r="B11" s="77" t="s">
        <v>193</v>
      </c>
      <c r="C11" s="72" t="s">
        <v>194</v>
      </c>
      <c r="D11" s="72" t="s">
        <v>195</v>
      </c>
      <c r="E11" s="72" t="s">
        <v>196</v>
      </c>
      <c r="F11" s="72" t="s">
        <v>197</v>
      </c>
      <c r="G11" s="72" t="s">
        <v>196</v>
      </c>
      <c r="N11" s="104" t="s">
        <v>198</v>
      </c>
      <c r="O11" s="104" t="s">
        <v>188</v>
      </c>
      <c r="P11" s="104" t="s">
        <v>189</v>
      </c>
      <c r="Q11" s="104" t="s">
        <v>190</v>
      </c>
      <c r="R11" s="104" t="s">
        <v>191</v>
      </c>
      <c r="S11" s="104" t="s">
        <v>192</v>
      </c>
      <c r="T11" s="75"/>
      <c r="U11" s="75"/>
      <c r="V11" s="104"/>
      <c r="W11" s="104"/>
      <c r="X11" s="104"/>
      <c r="Y11" s="104"/>
      <c r="Z11" s="104"/>
    </row>
    <row r="12" spans="1:27">
      <c r="B12" s="77" t="s">
        <v>199</v>
      </c>
      <c r="C12" s="72" t="s">
        <v>200</v>
      </c>
      <c r="D12" s="72" t="s">
        <v>200</v>
      </c>
      <c r="E12" s="77" t="s">
        <v>201</v>
      </c>
      <c r="F12" s="77" t="s">
        <v>202</v>
      </c>
      <c r="G12" s="78" t="s">
        <v>203</v>
      </c>
      <c r="N12" s="104"/>
      <c r="O12" s="104"/>
      <c r="P12" s="104"/>
      <c r="Q12" s="104"/>
      <c r="R12" s="104"/>
      <c r="S12" s="104"/>
      <c r="T12" s="75"/>
      <c r="U12" s="104" t="s">
        <v>204</v>
      </c>
      <c r="V12" s="104"/>
      <c r="W12" s="104"/>
      <c r="X12" s="104"/>
      <c r="Y12" s="104"/>
      <c r="Z12" s="104"/>
    </row>
    <row r="13" spans="1:27">
      <c r="A13" s="79" t="s">
        <v>27</v>
      </c>
      <c r="B13" s="79" t="s">
        <v>201</v>
      </c>
      <c r="C13" s="79" t="s">
        <v>201</v>
      </c>
      <c r="D13" s="79" t="s">
        <v>201</v>
      </c>
      <c r="E13" s="80">
        <v>0.27983599999999997</v>
      </c>
      <c r="F13" s="81">
        <v>1.3885726029071155</v>
      </c>
      <c r="G13" s="80">
        <f>E13</f>
        <v>0.27983599999999997</v>
      </c>
      <c r="I13" s="82" t="s">
        <v>205</v>
      </c>
      <c r="J13" s="82" t="s">
        <v>206</v>
      </c>
      <c r="K13" s="82" t="s">
        <v>207</v>
      </c>
      <c r="L13" s="82" t="s">
        <v>208</v>
      </c>
      <c r="N13" s="105"/>
      <c r="O13" s="105"/>
      <c r="P13" s="105"/>
      <c r="Q13" s="105"/>
      <c r="R13" s="105"/>
      <c r="S13" s="105"/>
      <c r="T13" s="83"/>
      <c r="U13" s="105"/>
      <c r="V13" s="105"/>
      <c r="W13" s="105"/>
      <c r="X13" s="105"/>
      <c r="Y13" s="105"/>
      <c r="Z13" s="105"/>
      <c r="AA13" s="79" t="s">
        <v>27</v>
      </c>
    </row>
    <row r="14" spans="1:27">
      <c r="A14" s="84" t="s">
        <v>209</v>
      </c>
      <c r="B14" s="72"/>
      <c r="C14" s="3"/>
      <c r="D14" s="85">
        <f xml:space="preserve"> F7</f>
        <v>145029.56</v>
      </c>
      <c r="E14" s="85">
        <f t="shared" ref="E14:E20" si="0">-D14*$E$13</f>
        <v>-40584.491952159995</v>
      </c>
      <c r="F14" s="85">
        <f t="shared" ref="F14:F20" si="1">-E14*$F$13</f>
        <v>56354.513627673681</v>
      </c>
      <c r="G14" s="85">
        <f t="shared" ref="G14:G20" si="2">-F14*$G$13</f>
        <v>-15770.021675513692</v>
      </c>
      <c r="J14" s="85">
        <f>-D14</f>
        <v>-145029.56</v>
      </c>
      <c r="K14" s="85">
        <f>J14</f>
        <v>-145029.56</v>
      </c>
      <c r="L14" s="85">
        <f>K14</f>
        <v>-145029.56</v>
      </c>
      <c r="N14" s="86">
        <f t="shared" ref="N14:N20" si="3">L14</f>
        <v>-145029.56</v>
      </c>
      <c r="O14" s="77"/>
      <c r="P14" s="77"/>
      <c r="Q14" s="77"/>
      <c r="U14" s="87">
        <f>N14</f>
        <v>-145029.56</v>
      </c>
      <c r="V14" s="85">
        <f t="shared" ref="V14:V20" si="4">U14*$V$9</f>
        <v>-27763.878848159999</v>
      </c>
      <c r="W14" s="85">
        <f t="shared" ref="W14:W20" si="5">U14*$W$9</f>
        <v>-12820.613104</v>
      </c>
      <c r="X14" s="85">
        <f t="shared" ref="X14:X20" si="6">-(V14+W14)*$X$9</f>
        <v>56354.513627673681</v>
      </c>
      <c r="Y14" s="85">
        <f t="shared" ref="Y14:Y20" si="7">-X14*$Y$9</f>
        <v>-10788.282670827339</v>
      </c>
      <c r="Z14" s="85">
        <f t="shared" ref="Z14:Z20" si="8">-X14*$Z$9</f>
        <v>-4981.7390046863538</v>
      </c>
      <c r="AA14" s="84" t="s">
        <v>209</v>
      </c>
    </row>
    <row r="15" spans="1:27">
      <c r="A15" s="3" t="s">
        <v>210</v>
      </c>
      <c r="B15" s="85">
        <f xml:space="preserve"> B16 * 5 / 12</f>
        <v>12085.796666666667</v>
      </c>
      <c r="C15" s="85">
        <f t="shared" ref="C15:C20" si="9">B15</f>
        <v>12085.796666666667</v>
      </c>
      <c r="D15" s="85">
        <f t="shared" ref="D15:D20" si="10">D14-C15</f>
        <v>132943.76333333334</v>
      </c>
      <c r="E15" s="85">
        <f t="shared" si="0"/>
        <v>-37202.450956146662</v>
      </c>
      <c r="F15" s="85">
        <f t="shared" si="1"/>
        <v>51658.304158700877</v>
      </c>
      <c r="G15" s="85">
        <f t="shared" si="2"/>
        <v>-14455.853202554217</v>
      </c>
      <c r="I15" s="85">
        <f t="shared" ref="I15:I19" si="11">C15*0.25</f>
        <v>3021.4491666666668</v>
      </c>
      <c r="J15" s="85">
        <f t="shared" ref="J15:J19" si="12">C15*0.5</f>
        <v>6042.8983333333335</v>
      </c>
      <c r="K15" s="85">
        <f t="shared" ref="K15:K19" si="13">C15*0.75</f>
        <v>9064.3474999999999</v>
      </c>
      <c r="L15" s="85">
        <f t="shared" ref="L15:L20" si="14">C15</f>
        <v>12085.796666666667</v>
      </c>
      <c r="M15" s="88"/>
      <c r="N15" s="85">
        <f t="shared" si="3"/>
        <v>12085.796666666667</v>
      </c>
      <c r="O15" s="85">
        <f t="shared" ref="O15:O20" si="15">N15*$O$10</f>
        <v>2313.6565706800002</v>
      </c>
      <c r="P15" s="85">
        <f t="shared" ref="P15:P20" si="16">N15*$P$10</f>
        <v>1068.3844253333334</v>
      </c>
      <c r="Q15" s="85">
        <f t="shared" ref="Q15:Q20" si="17">-(O15+P15)*$Q$10</f>
        <v>-4696.2094689728083</v>
      </c>
      <c r="R15" s="85">
        <f t="shared" ref="R15:R20" si="18">-Q15*$R$10</f>
        <v>899.02355590227853</v>
      </c>
      <c r="S15" s="85">
        <f t="shared" ref="S15:S20" si="19">-Q15*$S$10</f>
        <v>415.14491705719627</v>
      </c>
      <c r="T15" s="85"/>
      <c r="U15" s="85">
        <f t="shared" ref="U15:U20" si="20">U14+N15</f>
        <v>-132943.76333333334</v>
      </c>
      <c r="V15" s="85">
        <f t="shared" si="4"/>
        <v>-25450.222277479999</v>
      </c>
      <c r="W15" s="85">
        <f t="shared" si="5"/>
        <v>-11752.228678666668</v>
      </c>
      <c r="X15" s="85">
        <f t="shared" si="6"/>
        <v>51658.304158700885</v>
      </c>
      <c r="Y15" s="85">
        <f t="shared" si="7"/>
        <v>-9889.259114925062</v>
      </c>
      <c r="Z15" s="85">
        <f t="shared" si="8"/>
        <v>-4566.5940876291588</v>
      </c>
      <c r="AA15" s="3" t="s">
        <v>210</v>
      </c>
    </row>
    <row r="16" spans="1:27">
      <c r="A16" s="3" t="s">
        <v>211</v>
      </c>
      <c r="B16" s="85">
        <f xml:space="preserve"> F7 / 5</f>
        <v>29005.912</v>
      </c>
      <c r="C16" s="85">
        <f t="shared" si="9"/>
        <v>29005.912</v>
      </c>
      <c r="D16" s="85">
        <f t="shared" si="10"/>
        <v>103937.85133333334</v>
      </c>
      <c r="E16" s="85">
        <f t="shared" si="0"/>
        <v>-29085.552565714665</v>
      </c>
      <c r="F16" s="85">
        <f t="shared" si="1"/>
        <v>40387.401433166146</v>
      </c>
      <c r="G16" s="85">
        <f t="shared" si="2"/>
        <v>-11301.848867451481</v>
      </c>
      <c r="I16" s="85">
        <f t="shared" si="11"/>
        <v>7251.4780000000001</v>
      </c>
      <c r="J16" s="85">
        <f t="shared" si="12"/>
        <v>14502.956</v>
      </c>
      <c r="K16" s="85">
        <f t="shared" si="13"/>
        <v>21754.434000000001</v>
      </c>
      <c r="L16" s="85">
        <f t="shared" si="14"/>
        <v>29005.912</v>
      </c>
      <c r="M16" s="88"/>
      <c r="N16" s="85">
        <f t="shared" si="3"/>
        <v>29005.912</v>
      </c>
      <c r="O16" s="85">
        <f t="shared" si="15"/>
        <v>5552.7757696319995</v>
      </c>
      <c r="P16" s="85">
        <f t="shared" si="16"/>
        <v>2564.1226208000003</v>
      </c>
      <c r="Q16" s="85">
        <f t="shared" si="17"/>
        <v>-11270.902725534737</v>
      </c>
      <c r="R16" s="85">
        <f t="shared" si="18"/>
        <v>2157.6565341654677</v>
      </c>
      <c r="S16" s="85">
        <f t="shared" si="19"/>
        <v>996.3478009372709</v>
      </c>
      <c r="T16" s="85"/>
      <c r="U16" s="85">
        <f t="shared" si="20"/>
        <v>-103937.85133333334</v>
      </c>
      <c r="V16" s="85">
        <f t="shared" si="4"/>
        <v>-19897.446507847999</v>
      </c>
      <c r="W16" s="85">
        <f t="shared" si="5"/>
        <v>-9188.1060578666675</v>
      </c>
      <c r="X16" s="85">
        <f t="shared" si="6"/>
        <v>40387.401433166146</v>
      </c>
      <c r="Y16" s="85">
        <f t="shared" si="7"/>
        <v>-7731.6025807595943</v>
      </c>
      <c r="Z16" s="85">
        <f t="shared" si="8"/>
        <v>-3570.2462866918877</v>
      </c>
      <c r="AA16" s="3" t="s">
        <v>211</v>
      </c>
    </row>
    <row r="17" spans="1:27">
      <c r="A17" s="3" t="s">
        <v>28</v>
      </c>
      <c r="B17" s="85">
        <f xml:space="preserve"> B16</f>
        <v>29005.912</v>
      </c>
      <c r="C17" s="85">
        <f t="shared" si="9"/>
        <v>29005.912</v>
      </c>
      <c r="D17" s="85">
        <f t="shared" si="10"/>
        <v>74931.939333333343</v>
      </c>
      <c r="E17" s="85">
        <f t="shared" si="0"/>
        <v>-20968.654175282667</v>
      </c>
      <c r="F17" s="85">
        <f t="shared" si="1"/>
        <v>29116.498707631406</v>
      </c>
      <c r="G17" s="85">
        <f t="shared" si="2"/>
        <v>-8147.8445323487413</v>
      </c>
      <c r="I17" s="85">
        <f t="shared" si="11"/>
        <v>7251.4780000000001</v>
      </c>
      <c r="J17" s="85">
        <f t="shared" si="12"/>
        <v>14502.956</v>
      </c>
      <c r="K17" s="85">
        <f t="shared" si="13"/>
        <v>21754.434000000001</v>
      </c>
      <c r="L17" s="85">
        <f t="shared" si="14"/>
        <v>29005.912</v>
      </c>
      <c r="M17" s="88"/>
      <c r="N17" s="85">
        <f t="shared" si="3"/>
        <v>29005.912</v>
      </c>
      <c r="O17" s="85">
        <f t="shared" si="15"/>
        <v>5552.7757696319995</v>
      </c>
      <c r="P17" s="85">
        <f t="shared" si="16"/>
        <v>2564.1226208000003</v>
      </c>
      <c r="Q17" s="85">
        <f t="shared" si="17"/>
        <v>-11270.902725534737</v>
      </c>
      <c r="R17" s="85">
        <f t="shared" si="18"/>
        <v>2157.6565341654677</v>
      </c>
      <c r="S17" s="85">
        <f t="shared" si="19"/>
        <v>996.3478009372709</v>
      </c>
      <c r="T17" s="85"/>
      <c r="U17" s="85">
        <f t="shared" si="20"/>
        <v>-74931.939333333343</v>
      </c>
      <c r="V17" s="85">
        <f t="shared" si="4"/>
        <v>-14344.670738216002</v>
      </c>
      <c r="W17" s="85">
        <f t="shared" si="5"/>
        <v>-6623.9834370666676</v>
      </c>
      <c r="X17" s="85">
        <f t="shared" si="6"/>
        <v>29116.498707631414</v>
      </c>
      <c r="Y17" s="85">
        <f t="shared" si="7"/>
        <v>-5573.9460465941274</v>
      </c>
      <c r="Z17" s="85">
        <f t="shared" si="8"/>
        <v>-2573.898485754617</v>
      </c>
      <c r="AA17" s="3" t="s">
        <v>28</v>
      </c>
    </row>
    <row r="18" spans="1:27">
      <c r="A18" s="3" t="s">
        <v>29</v>
      </c>
      <c r="B18" s="85">
        <f xml:space="preserve"> B17</f>
        <v>29005.912</v>
      </c>
      <c r="C18" s="85">
        <f t="shared" si="9"/>
        <v>29005.912</v>
      </c>
      <c r="D18" s="85">
        <f t="shared" si="10"/>
        <v>45926.027333333346</v>
      </c>
      <c r="E18" s="85">
        <f t="shared" si="0"/>
        <v>-12851.755784850669</v>
      </c>
      <c r="F18" s="85">
        <f t="shared" si="1"/>
        <v>17845.595982096675</v>
      </c>
      <c r="G18" s="85">
        <f t="shared" si="2"/>
        <v>-4993.8401972460042</v>
      </c>
      <c r="I18" s="85">
        <f t="shared" si="11"/>
        <v>7251.4780000000001</v>
      </c>
      <c r="J18" s="85">
        <f t="shared" si="12"/>
        <v>14502.956</v>
      </c>
      <c r="K18" s="85">
        <f t="shared" si="13"/>
        <v>21754.434000000001</v>
      </c>
      <c r="L18" s="85">
        <f t="shared" si="14"/>
        <v>29005.912</v>
      </c>
      <c r="M18" s="88"/>
      <c r="N18" s="85">
        <f t="shared" si="3"/>
        <v>29005.912</v>
      </c>
      <c r="O18" s="85">
        <f t="shared" si="15"/>
        <v>5552.7757696319995</v>
      </c>
      <c r="P18" s="85">
        <f t="shared" si="16"/>
        <v>2564.1226208000003</v>
      </c>
      <c r="Q18" s="85">
        <f t="shared" si="17"/>
        <v>-11270.902725534737</v>
      </c>
      <c r="R18" s="85">
        <f t="shared" si="18"/>
        <v>2157.6565341654677</v>
      </c>
      <c r="S18" s="85">
        <f t="shared" si="19"/>
        <v>996.3478009372709</v>
      </c>
      <c r="T18" s="85"/>
      <c r="U18" s="85">
        <f t="shared" si="20"/>
        <v>-45926.027333333346</v>
      </c>
      <c r="V18" s="85">
        <f t="shared" si="4"/>
        <v>-8791.8949685840016</v>
      </c>
      <c r="W18" s="85">
        <f t="shared" si="5"/>
        <v>-4059.8608162666683</v>
      </c>
      <c r="X18" s="85">
        <f t="shared" si="6"/>
        <v>17845.595982096675</v>
      </c>
      <c r="Y18" s="85">
        <f t="shared" si="7"/>
        <v>-3416.2895124286588</v>
      </c>
      <c r="Z18" s="85">
        <f t="shared" si="8"/>
        <v>-1577.5506848173461</v>
      </c>
      <c r="AA18" s="3" t="s">
        <v>29</v>
      </c>
    </row>
    <row r="19" spans="1:27">
      <c r="A19" s="3" t="s">
        <v>212</v>
      </c>
      <c r="B19" s="85">
        <f xml:space="preserve"> B18</f>
        <v>29005.912</v>
      </c>
      <c r="C19" s="85">
        <f t="shared" si="9"/>
        <v>29005.912</v>
      </c>
      <c r="D19" s="85">
        <f t="shared" si="10"/>
        <v>16920.115333333346</v>
      </c>
      <c r="E19" s="85">
        <f t="shared" si="0"/>
        <v>-4734.8573944186701</v>
      </c>
      <c r="F19" s="85">
        <f t="shared" si="1"/>
        <v>6574.6932565619354</v>
      </c>
      <c r="G19" s="85">
        <f t="shared" si="2"/>
        <v>-1839.8358621432656</v>
      </c>
      <c r="I19" s="85">
        <f t="shared" si="11"/>
        <v>7251.4780000000001</v>
      </c>
      <c r="J19" s="85">
        <f t="shared" si="12"/>
        <v>14502.956</v>
      </c>
      <c r="K19" s="85">
        <f t="shared" si="13"/>
        <v>21754.434000000001</v>
      </c>
      <c r="L19" s="85">
        <f t="shared" si="14"/>
        <v>29005.912</v>
      </c>
      <c r="M19" s="88"/>
      <c r="N19" s="85">
        <f t="shared" si="3"/>
        <v>29005.912</v>
      </c>
      <c r="O19" s="85">
        <f t="shared" si="15"/>
        <v>5552.7757696319995</v>
      </c>
      <c r="P19" s="85">
        <f t="shared" si="16"/>
        <v>2564.1226208000003</v>
      </c>
      <c r="Q19" s="85">
        <f t="shared" si="17"/>
        <v>-11270.902725534737</v>
      </c>
      <c r="R19" s="85">
        <f t="shared" si="18"/>
        <v>2157.6565341654677</v>
      </c>
      <c r="S19" s="85">
        <f t="shared" si="19"/>
        <v>996.3478009372709</v>
      </c>
      <c r="T19" s="85"/>
      <c r="U19" s="85">
        <f t="shared" si="20"/>
        <v>-16920.115333333346</v>
      </c>
      <c r="V19" s="85">
        <f t="shared" si="4"/>
        <v>-3239.1191989520025</v>
      </c>
      <c r="W19" s="85">
        <f t="shared" si="5"/>
        <v>-1495.7381954666678</v>
      </c>
      <c r="X19" s="85">
        <f t="shared" si="6"/>
        <v>6574.6932565619354</v>
      </c>
      <c r="Y19" s="85">
        <f t="shared" si="7"/>
        <v>-1258.6329782631906</v>
      </c>
      <c r="Z19" s="85">
        <f t="shared" si="8"/>
        <v>-581.20288388007509</v>
      </c>
      <c r="AA19" s="3" t="s">
        <v>212</v>
      </c>
    </row>
    <row r="20" spans="1:27">
      <c r="A20" s="3" t="s">
        <v>213</v>
      </c>
      <c r="B20" s="85">
        <f xml:space="preserve"> B19 * 7 / 12</f>
        <v>16920.115333333331</v>
      </c>
      <c r="C20" s="85">
        <f t="shared" si="9"/>
        <v>16920.115333333331</v>
      </c>
      <c r="D20" s="85">
        <f t="shared" si="10"/>
        <v>0</v>
      </c>
      <c r="E20" s="85">
        <f t="shared" si="0"/>
        <v>0</v>
      </c>
      <c r="F20" s="85">
        <f t="shared" si="1"/>
        <v>0</v>
      </c>
      <c r="G20" s="85">
        <f t="shared" si="2"/>
        <v>0</v>
      </c>
      <c r="I20" s="85">
        <f>B20 / 7 * 3</f>
        <v>7251.4779999999992</v>
      </c>
      <c r="J20" s="85">
        <f xml:space="preserve"> B20  / 7 * 6</f>
        <v>14502.955999999998</v>
      </c>
      <c r="K20" s="85">
        <f xml:space="preserve"> C20</f>
        <v>16920.115333333331</v>
      </c>
      <c r="L20" s="85">
        <f t="shared" si="14"/>
        <v>16920.115333333331</v>
      </c>
      <c r="M20" s="88"/>
      <c r="N20" s="85">
        <f t="shared" si="3"/>
        <v>16920.115333333331</v>
      </c>
      <c r="O20" s="85">
        <f t="shared" si="15"/>
        <v>3239.1191989519994</v>
      </c>
      <c r="P20" s="85">
        <f t="shared" si="16"/>
        <v>1495.7381954666666</v>
      </c>
      <c r="Q20" s="85">
        <f t="shared" si="17"/>
        <v>-6574.69325656193</v>
      </c>
      <c r="R20" s="85">
        <f t="shared" si="18"/>
        <v>1258.6329782631897</v>
      </c>
      <c r="S20" s="85">
        <f t="shared" si="19"/>
        <v>581.20288388007464</v>
      </c>
      <c r="T20" s="85"/>
      <c r="U20" s="85">
        <f t="shared" si="20"/>
        <v>0</v>
      </c>
      <c r="V20" s="85">
        <f t="shared" si="4"/>
        <v>0</v>
      </c>
      <c r="W20" s="85">
        <f t="shared" si="5"/>
        <v>0</v>
      </c>
      <c r="X20" s="85">
        <f t="shared" si="6"/>
        <v>0</v>
      </c>
      <c r="Y20" s="85">
        <f t="shared" si="7"/>
        <v>0</v>
      </c>
      <c r="Z20" s="85">
        <f t="shared" si="8"/>
        <v>0</v>
      </c>
      <c r="AA20" s="3" t="s">
        <v>213</v>
      </c>
    </row>
    <row r="21" spans="1:27" ht="16.5" thickBot="1">
      <c r="B21" s="89">
        <f>SUM(B15:B20)</f>
        <v>145029.56</v>
      </c>
      <c r="C21" s="89">
        <f>SUM(C15:C20)</f>
        <v>145029.56</v>
      </c>
      <c r="N21" s="89">
        <f>SUM(N14:N20)</f>
        <v>0</v>
      </c>
    </row>
    <row r="22" spans="1:27" ht="16.5" thickTop="1"/>
  </sheetData>
  <mergeCells count="12">
    <mergeCell ref="Y10:Y13"/>
    <mergeCell ref="Z10:Z13"/>
    <mergeCell ref="N11:N13"/>
    <mergeCell ref="O11:O13"/>
    <mergeCell ref="P11:P13"/>
    <mergeCell ref="Q11:Q13"/>
    <mergeCell ref="R11:R13"/>
    <mergeCell ref="S11:S13"/>
    <mergeCell ref="U12:U13"/>
    <mergeCell ref="V10:V13"/>
    <mergeCell ref="W10:W13"/>
    <mergeCell ref="X10:X13"/>
  </mergeCells>
  <pageMargins left="0.7" right="0.7" top="0.75" bottom="0.75" header="0.3" footer="0.3"/>
  <pageSetup paperSize="5" scale="33"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Six Cities 1-17</vt:lpstr>
      <vt:lpstr>Six Cities 1-18</vt:lpstr>
      <vt:lpstr>Six Cities 1-19</vt:lpstr>
      <vt:lpstr>Six Cities 1-20</vt:lpstr>
      <vt:lpstr>Six Cities 1-21</vt:lpstr>
      <vt:lpstr>Six Cities 1-22</vt:lpstr>
      <vt:lpstr>Six Cities 1-23</vt:lpstr>
      <vt:lpstr>Six Cities 1-26</vt:lpstr>
      <vt:lpstr>Six Cities 1-27</vt:lpstr>
      <vt:lpstr>'Six Cities 1-17'!Print_Area</vt:lpstr>
      <vt:lpstr>'Six Cities 1-18'!Print_Area</vt:lpstr>
      <vt:lpstr>'Six Cities 1-19'!Print_Area</vt:lpstr>
      <vt:lpstr>'Six Cities 1-20'!Print_Area</vt:lpstr>
      <vt:lpstr>'Six Cities 1-21'!Print_Area</vt:lpstr>
      <vt:lpstr>'Six Cities 1-22'!Print_Area</vt:lpstr>
      <vt:lpstr>'Six Cities 1-23'!Print_Area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 Power</dc:creator>
  <cp:lastModifiedBy>Todd Schavrien</cp:lastModifiedBy>
  <cp:lastPrinted>2024-12-17T20:11:02Z</cp:lastPrinted>
  <dcterms:created xsi:type="dcterms:W3CDTF">2021-12-30T17:49:27Z</dcterms:created>
  <dcterms:modified xsi:type="dcterms:W3CDTF">2024-12-18T03:23:30Z</dcterms:modified>
</cp:coreProperties>
</file>